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vsdx" ContentType="application/vnd.ms-visio.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semi-my.sharepoint.com/personal/alan_feng_onsemi_com/Documents/Desktop/NCP3286_96/"/>
    </mc:Choice>
  </mc:AlternateContent>
  <xr:revisionPtr revIDLastSave="0" documentId="8_{DC4227A2-4579-4778-9A7E-CE9791BA003D}" xr6:coauthVersionLast="47" xr6:coauthVersionMax="47" xr10:uidLastSave="{00000000-0000-0000-0000-000000000000}"/>
  <workbookProtection workbookAlgorithmName="SHA-512" workbookHashValue="FmCEW2yh1xGI5tV/A/BevO6YKq7NEVbiF9jA4KJZhRKNzYe9f09+AOgD/a0W3YBR4jMaESqcIOFaford3oXfJg==" workbookSaltValue="nMhSB3b+mZKyZk5DdJ00TQ==" workbookSpinCount="100000" lockStructure="1"/>
  <bookViews>
    <workbookView xWindow="-108" yWindow="-108" windowWidth="23256" windowHeight="13896" tabRatio="763" xr2:uid="{00000000-000D-0000-FFFF-FFFF00000000}"/>
  </bookViews>
  <sheets>
    <sheet name="Front" sheetId="1" r:id="rId1"/>
    <sheet name="OP_Mode" sheetId="2" state="hidden" r:id="rId2"/>
    <sheet name="EN_Vin_UVLO" sheetId="6" state="hidden" r:id="rId3"/>
    <sheet name="Cin_Cout" sheetId="7" state="hidden" r:id="rId4"/>
    <sheet name="Bode_Plot" sheetId="8" state="hidden" r:id="rId5"/>
  </sheets>
  <definedNames>
    <definedName name="_1_phase">OP_Mode!$E$27:$H$27</definedName>
    <definedName name="_2_phase">OP_Mode!$E$28:$H$28</definedName>
    <definedName name="_3_phase">OP_Mode!$E$29:$H$29</definedName>
    <definedName name="_4_phase">OP_Mode!$E$30:$H$30</definedName>
    <definedName name="_C1c">Bode_Plot!$L$11</definedName>
    <definedName name="_C1u">Bode_Plot!$N$11</definedName>
    <definedName name="_C2c">Bode_Plot!$L$12</definedName>
    <definedName name="_C2u">Bode_Plot!$N$12</definedName>
    <definedName name="_C3c">Bode_Plot!$L$13</definedName>
    <definedName name="_C3u">Bode_Plot!$N$13</definedName>
    <definedName name="_R1c">Bode_Plot!$L$8</definedName>
    <definedName name="_R1u">Bode_Plot!$N$8</definedName>
    <definedName name="_R2c">Bode_Plot!$L$9</definedName>
    <definedName name="_R2u">Bode_Plot!$N$9</definedName>
    <definedName name="_R3c">Bode_Plot!$L$10</definedName>
    <definedName name="_R3u">Bode_Plot!$N$10</definedName>
    <definedName name="Av_EA">Bode_Plot!$C$12</definedName>
    <definedName name="Ccin">Cin_Cout!$E$92</definedName>
    <definedName name="Co">Front!$G$90</definedName>
    <definedName name="Co_p">Bode_Plot!$C$8</definedName>
    <definedName name="Cramp">Bode_Plot!$C$29</definedName>
    <definedName name="DCR">Front!$G$86</definedName>
    <definedName name="DCRp">Bode_Plot!$C$6</definedName>
    <definedName name="Deff">Cin_Cout!$C$3</definedName>
    <definedName name="Delta_IL">Front!$G$84</definedName>
    <definedName name="dI_in">Cin_Cout!$E$81</definedName>
    <definedName name="Dp">Bode_Plot!$C$25</definedName>
    <definedName name="EA_BW">Bode_Plot!$C$14</definedName>
    <definedName name="Efficiency">Front!$F$20</definedName>
    <definedName name="Effy">Cin_Cout!$C$2</definedName>
    <definedName name="ESL_Co">Front!$G$92</definedName>
    <definedName name="ESLcin">Cin_Cout!$E$94</definedName>
    <definedName name="ESLp">Bode_Plot!$C$7</definedName>
    <definedName name="ESR_c">Front!$G$70</definedName>
    <definedName name="ESR_Co">Front!$G$91</definedName>
    <definedName name="ESRc">Front!$G$70</definedName>
    <definedName name="ESRcin">Cin_Cout!$E$93</definedName>
    <definedName name="ESRf">Bode_Plot!$AC$199</definedName>
    <definedName name="ESRp">Cin_Cout!$C$6</definedName>
    <definedName name="ESRz">Bode_Plot!$AC$198</definedName>
    <definedName name="Fc">Front!$F$116</definedName>
    <definedName name="Fc_t">Bode_Plot!$X$5</definedName>
    <definedName name="four">OP_Mode!$E$30:$H$30</definedName>
    <definedName name="Four_Phase">OP_Mode!$E$30:$T$30</definedName>
    <definedName name="Freq">Bode_Plot!$C$23</definedName>
    <definedName name="Fsw">Front!$F$28</definedName>
    <definedName name="Fsw_s">Bode_Plot!$C$23</definedName>
    <definedName name="Half">OP_Mode!$E$36:$J$36</definedName>
    <definedName name="Hiccup">OP_Mode!$E$32:$L$32</definedName>
    <definedName name="I_sr">Front!$F$17</definedName>
    <definedName name="I_step">Front!$F$16</definedName>
    <definedName name="Iomax">Front!$F$15</definedName>
    <definedName name="Iramp">Bode_Plot!$C$30</definedName>
    <definedName name="Km">Bode_Plot!$C$34</definedName>
    <definedName name="Kmp">Bode_Plot!$C$35</definedName>
    <definedName name="L">Front!$G$85</definedName>
    <definedName name="Latch_Off">OP_Mode!$E$33:$L$33</definedName>
    <definedName name="Leff_s">Bode_Plot!$J$5</definedName>
    <definedName name="Lp">Bode_Plot!$C$5</definedName>
    <definedName name="mI_C">Cin_Cout!$D$105</definedName>
    <definedName name="mI_L">Cin_Cout!$C$15</definedName>
    <definedName name="N_olap">Cin_Cout!$D$98</definedName>
    <definedName name="Nbulk">Front!$G$94</definedName>
    <definedName name="Ncc">Front!$G$67</definedName>
    <definedName name="Np">Front!$H$27</definedName>
    <definedName name="One">OP_Mode!$E$35:$J$35</definedName>
    <definedName name="One_Phase">OP_Mode!$E$27:$T$27</definedName>
    <definedName name="PM">Front!$F$117</definedName>
    <definedName name="Quarter">OP_Mode!$E$37:$J$37</definedName>
    <definedName name="Qz">Bode_Plot!$C$38</definedName>
    <definedName name="Rfb_c">Bode_Plot!$L$14</definedName>
    <definedName name="Rfb_u">Bode_Plot!$N$14</definedName>
    <definedName name="Ri">Bode_Plot!$C$21</definedName>
    <definedName name="Ro_p">Bode_Plot!$C$40</definedName>
    <definedName name="Rs_p">Bode_Plot!$C$41</definedName>
    <definedName name="Se_p">Bode_Plot!$C$31</definedName>
    <definedName name="t_Ioslew">Cin_Cout!$E$49</definedName>
    <definedName name="three">OP_Mode!$E$29:$H$29</definedName>
    <definedName name="Three_Phase">OP_Mode!$E$29:$T$29</definedName>
    <definedName name="Toff_p">Bode_Plot!$C$27</definedName>
    <definedName name="Toffmin">Cin_Cout!$E$50</definedName>
    <definedName name="Ton_p">Bode_Plot!$C$26</definedName>
    <definedName name="Tonmax">Cin_Cout!$E$51</definedName>
    <definedName name="Tp">Bode_Plot!$C$24</definedName>
    <definedName name="two">OP_Mode!$E$28:$H$28</definedName>
    <definedName name="Two_Phase">OP_Mode!$E$28:$T$28</definedName>
    <definedName name="uvlo">EN_Vin_UVLO!$U$4</definedName>
    <definedName name="Vi">Front!$F$11</definedName>
    <definedName name="Vinpp">Front!$F$12</definedName>
    <definedName name="Vo">Front!$F$14</definedName>
    <definedName name="Vo_Ripple">Front!$F$18</definedName>
    <definedName name="Vo_Scale">Front!$H$31</definedName>
    <definedName name="Vo_Transient">Front!$G$19</definedName>
    <definedName name="Vopp">Cin_Cout!$D$33</definedName>
    <definedName name="Vsl_p">Bode_Plot!$C$32</definedName>
    <definedName name="Wc">Bode_Plot!$U$5</definedName>
    <definedName name="Wn">Bode_Plot!$C$37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6" i="1" l="1"/>
  <c r="F116" i="1"/>
  <c r="C41" i="8"/>
  <c r="E123" i="7" l="1"/>
  <c r="F77" i="1" l="1"/>
  <c r="F72" i="1"/>
  <c r="E122" i="7"/>
  <c r="D122" i="7"/>
  <c r="E120" i="7"/>
  <c r="D115" i="7"/>
  <c r="D116" i="7" s="1"/>
  <c r="D117" i="7" l="1"/>
  <c r="D86" i="7" l="1"/>
  <c r="D85" i="7"/>
  <c r="C21" i="8"/>
  <c r="G98" i="1"/>
  <c r="G91" i="1"/>
  <c r="F105" i="1" l="1"/>
  <c r="C6" i="7" l="1"/>
  <c r="C9" i="8" s="1"/>
  <c r="C193" i="8" l="1"/>
  <c r="K23" i="8"/>
  <c r="E49" i="7" l="1"/>
  <c r="E48" i="7"/>
  <c r="D33" i="7"/>
  <c r="F104" i="1" s="1"/>
  <c r="C2" i="7"/>
  <c r="D118" i="7" s="1"/>
  <c r="D120" i="7" l="1"/>
  <c r="D123" i="7"/>
  <c r="E116" i="7"/>
  <c r="D35" i="7"/>
  <c r="D34" i="7"/>
  <c r="D36" i="7"/>
  <c r="D65" i="7"/>
  <c r="D54" i="7"/>
  <c r="H27" i="1"/>
  <c r="F29" i="1" l="1"/>
  <c r="F84" i="1"/>
  <c r="E117" i="7"/>
  <c r="F74" i="1"/>
  <c r="F75" i="1"/>
  <c r="E81" i="7"/>
  <c r="D93" i="7" s="1"/>
  <c r="F65" i="1" s="1"/>
  <c r="C198" i="8"/>
  <c r="D198" i="8" s="1"/>
  <c r="E198" i="8" s="1"/>
  <c r="C328" i="8" l="1"/>
  <c r="C38" i="8"/>
  <c r="E327" i="8"/>
  <c r="D327" i="8"/>
  <c r="C327" i="8"/>
  <c r="E326" i="8"/>
  <c r="D326" i="8"/>
  <c r="C326" i="8"/>
  <c r="E325" i="8"/>
  <c r="D325" i="8"/>
  <c r="C325" i="8"/>
  <c r="E324" i="8"/>
  <c r="D324" i="8"/>
  <c r="C324" i="8"/>
  <c r="E323" i="8"/>
  <c r="D323" i="8"/>
  <c r="C323" i="8"/>
  <c r="E322" i="8"/>
  <c r="D322" i="8"/>
  <c r="C322" i="8"/>
  <c r="E321" i="8"/>
  <c r="D321" i="8"/>
  <c r="C321" i="8"/>
  <c r="E320" i="8"/>
  <c r="D320" i="8"/>
  <c r="C320" i="8"/>
  <c r="E319" i="8"/>
  <c r="D319" i="8"/>
  <c r="C319" i="8"/>
  <c r="E318" i="8"/>
  <c r="D318" i="8"/>
  <c r="C318" i="8"/>
  <c r="E317" i="8"/>
  <c r="D317" i="8"/>
  <c r="C317" i="8"/>
  <c r="E316" i="8"/>
  <c r="D316" i="8"/>
  <c r="C316" i="8"/>
  <c r="E315" i="8"/>
  <c r="D315" i="8"/>
  <c r="C315" i="8"/>
  <c r="E314" i="8"/>
  <c r="D314" i="8"/>
  <c r="C314" i="8"/>
  <c r="E313" i="8"/>
  <c r="D313" i="8"/>
  <c r="C313" i="8"/>
  <c r="E312" i="8"/>
  <c r="D312" i="8"/>
  <c r="C312" i="8"/>
  <c r="E311" i="8"/>
  <c r="D311" i="8"/>
  <c r="C311" i="8"/>
  <c r="E310" i="8"/>
  <c r="D310" i="8"/>
  <c r="C310" i="8"/>
  <c r="E309" i="8"/>
  <c r="D309" i="8"/>
  <c r="C309" i="8"/>
  <c r="E308" i="8"/>
  <c r="D308" i="8"/>
  <c r="C308" i="8"/>
  <c r="E307" i="8"/>
  <c r="D307" i="8"/>
  <c r="C307" i="8"/>
  <c r="E306" i="8"/>
  <c r="D306" i="8"/>
  <c r="C306" i="8"/>
  <c r="E305" i="8"/>
  <c r="D305" i="8"/>
  <c r="C305" i="8"/>
  <c r="E304" i="8"/>
  <c r="D304" i="8"/>
  <c r="C304" i="8"/>
  <c r="E303" i="8"/>
  <c r="D303" i="8"/>
  <c r="C303" i="8"/>
  <c r="E302" i="8"/>
  <c r="D302" i="8"/>
  <c r="C302" i="8"/>
  <c r="E301" i="8"/>
  <c r="D301" i="8"/>
  <c r="C301" i="8"/>
  <c r="E300" i="8"/>
  <c r="D300" i="8"/>
  <c r="C300" i="8"/>
  <c r="E299" i="8"/>
  <c r="D299" i="8"/>
  <c r="C299" i="8"/>
  <c r="E298" i="8"/>
  <c r="D298" i="8"/>
  <c r="C298" i="8"/>
  <c r="E297" i="8"/>
  <c r="D297" i="8"/>
  <c r="C297" i="8"/>
  <c r="E296" i="8"/>
  <c r="D296" i="8"/>
  <c r="C296" i="8"/>
  <c r="E295" i="8"/>
  <c r="D295" i="8"/>
  <c r="C295" i="8"/>
  <c r="E294" i="8"/>
  <c r="D294" i="8"/>
  <c r="C294" i="8"/>
  <c r="E293" i="8"/>
  <c r="D293" i="8"/>
  <c r="C293" i="8"/>
  <c r="E292" i="8"/>
  <c r="D292" i="8"/>
  <c r="C292" i="8"/>
  <c r="E291" i="8"/>
  <c r="D291" i="8"/>
  <c r="C291" i="8"/>
  <c r="E290" i="8"/>
  <c r="D290" i="8"/>
  <c r="C290" i="8"/>
  <c r="E289" i="8"/>
  <c r="D289" i="8"/>
  <c r="C289" i="8"/>
  <c r="E288" i="8"/>
  <c r="D288" i="8"/>
  <c r="C288" i="8"/>
  <c r="E287" i="8"/>
  <c r="D287" i="8"/>
  <c r="C287" i="8"/>
  <c r="E286" i="8"/>
  <c r="D286" i="8"/>
  <c r="C286" i="8"/>
  <c r="E285" i="8"/>
  <c r="D285" i="8"/>
  <c r="C285" i="8"/>
  <c r="E284" i="8"/>
  <c r="D284" i="8"/>
  <c r="C284" i="8"/>
  <c r="E283" i="8"/>
  <c r="D283" i="8"/>
  <c r="C283" i="8"/>
  <c r="E282" i="8"/>
  <c r="D282" i="8"/>
  <c r="C282" i="8"/>
  <c r="E281" i="8"/>
  <c r="D281" i="8"/>
  <c r="C281" i="8"/>
  <c r="E280" i="8"/>
  <c r="D280" i="8"/>
  <c r="C280" i="8"/>
  <c r="E279" i="8"/>
  <c r="D279" i="8"/>
  <c r="C279" i="8"/>
  <c r="E278" i="8"/>
  <c r="D278" i="8"/>
  <c r="C278" i="8"/>
  <c r="E277" i="8"/>
  <c r="D277" i="8"/>
  <c r="C277" i="8"/>
  <c r="E276" i="8"/>
  <c r="D276" i="8"/>
  <c r="C276" i="8"/>
  <c r="E275" i="8"/>
  <c r="D275" i="8"/>
  <c r="C275" i="8"/>
  <c r="E274" i="8"/>
  <c r="D274" i="8"/>
  <c r="C274" i="8"/>
  <c r="E273" i="8"/>
  <c r="D273" i="8"/>
  <c r="C273" i="8"/>
  <c r="E272" i="8"/>
  <c r="D272" i="8"/>
  <c r="C272" i="8"/>
  <c r="E271" i="8"/>
  <c r="D271" i="8"/>
  <c r="C271" i="8"/>
  <c r="E270" i="8"/>
  <c r="D270" i="8"/>
  <c r="C270" i="8"/>
  <c r="E269" i="8"/>
  <c r="D269" i="8"/>
  <c r="C269" i="8"/>
  <c r="E268" i="8"/>
  <c r="D268" i="8"/>
  <c r="C268" i="8"/>
  <c r="E267" i="8"/>
  <c r="D267" i="8"/>
  <c r="C267" i="8"/>
  <c r="E266" i="8"/>
  <c r="D266" i="8"/>
  <c r="C266" i="8"/>
  <c r="E265" i="8"/>
  <c r="D265" i="8"/>
  <c r="C265" i="8"/>
  <c r="E264" i="8"/>
  <c r="D264" i="8"/>
  <c r="C264" i="8"/>
  <c r="E263" i="8"/>
  <c r="D263" i="8"/>
  <c r="C263" i="8"/>
  <c r="E262" i="8"/>
  <c r="D262" i="8"/>
  <c r="C262" i="8"/>
  <c r="E261" i="8"/>
  <c r="D261" i="8"/>
  <c r="C261" i="8"/>
  <c r="E260" i="8"/>
  <c r="D260" i="8"/>
  <c r="C260" i="8"/>
  <c r="E259" i="8"/>
  <c r="D259" i="8"/>
  <c r="C259" i="8"/>
  <c r="E258" i="8"/>
  <c r="D258" i="8"/>
  <c r="C258" i="8"/>
  <c r="E257" i="8"/>
  <c r="D257" i="8"/>
  <c r="C257" i="8"/>
  <c r="E256" i="8"/>
  <c r="D256" i="8"/>
  <c r="C256" i="8"/>
  <c r="E255" i="8"/>
  <c r="D255" i="8"/>
  <c r="C255" i="8"/>
  <c r="E254" i="8"/>
  <c r="D254" i="8"/>
  <c r="C254" i="8"/>
  <c r="E253" i="8"/>
  <c r="D253" i="8"/>
  <c r="C253" i="8"/>
  <c r="E252" i="8"/>
  <c r="D252" i="8"/>
  <c r="C252" i="8"/>
  <c r="E251" i="8"/>
  <c r="D251" i="8"/>
  <c r="C251" i="8"/>
  <c r="E250" i="8"/>
  <c r="D250" i="8"/>
  <c r="C250" i="8"/>
  <c r="E249" i="8"/>
  <c r="D249" i="8"/>
  <c r="C249" i="8"/>
  <c r="E248" i="8"/>
  <c r="D248" i="8"/>
  <c r="C248" i="8"/>
  <c r="E247" i="8"/>
  <c r="D247" i="8"/>
  <c r="C247" i="8"/>
  <c r="E246" i="8"/>
  <c r="D246" i="8"/>
  <c r="C246" i="8"/>
  <c r="E245" i="8"/>
  <c r="D245" i="8"/>
  <c r="C245" i="8"/>
  <c r="E244" i="8"/>
  <c r="D244" i="8"/>
  <c r="C244" i="8"/>
  <c r="E243" i="8"/>
  <c r="D243" i="8"/>
  <c r="C243" i="8"/>
  <c r="E242" i="8"/>
  <c r="D242" i="8"/>
  <c r="C242" i="8"/>
  <c r="E241" i="8"/>
  <c r="D241" i="8"/>
  <c r="C241" i="8"/>
  <c r="E240" i="8"/>
  <c r="D240" i="8"/>
  <c r="C240" i="8"/>
  <c r="E239" i="8"/>
  <c r="D239" i="8"/>
  <c r="C239" i="8"/>
  <c r="E238" i="8"/>
  <c r="D238" i="8"/>
  <c r="C238" i="8"/>
  <c r="E237" i="8"/>
  <c r="D237" i="8"/>
  <c r="C237" i="8"/>
  <c r="E236" i="8"/>
  <c r="D236" i="8"/>
  <c r="C236" i="8"/>
  <c r="E235" i="8"/>
  <c r="D235" i="8"/>
  <c r="C235" i="8"/>
  <c r="E234" i="8"/>
  <c r="D234" i="8"/>
  <c r="C234" i="8"/>
  <c r="E233" i="8"/>
  <c r="D233" i="8"/>
  <c r="C233" i="8"/>
  <c r="E232" i="8"/>
  <c r="D232" i="8"/>
  <c r="C232" i="8"/>
  <c r="E231" i="8"/>
  <c r="D231" i="8"/>
  <c r="C231" i="8"/>
  <c r="E230" i="8"/>
  <c r="D230" i="8"/>
  <c r="C230" i="8"/>
  <c r="E229" i="8"/>
  <c r="D229" i="8"/>
  <c r="C229" i="8"/>
  <c r="E228" i="8"/>
  <c r="D228" i="8"/>
  <c r="C228" i="8"/>
  <c r="E227" i="8"/>
  <c r="D227" i="8"/>
  <c r="C227" i="8"/>
  <c r="E226" i="8"/>
  <c r="D226" i="8"/>
  <c r="C226" i="8"/>
  <c r="E225" i="8"/>
  <c r="D225" i="8"/>
  <c r="C225" i="8"/>
  <c r="E224" i="8"/>
  <c r="D224" i="8"/>
  <c r="C224" i="8"/>
  <c r="E223" i="8"/>
  <c r="D223" i="8"/>
  <c r="C223" i="8"/>
  <c r="E222" i="8"/>
  <c r="D222" i="8"/>
  <c r="C222" i="8"/>
  <c r="E221" i="8"/>
  <c r="D221" i="8"/>
  <c r="C221" i="8"/>
  <c r="E220" i="8"/>
  <c r="D220" i="8"/>
  <c r="C220" i="8"/>
  <c r="E219" i="8"/>
  <c r="D219" i="8"/>
  <c r="C219" i="8"/>
  <c r="E218" i="8"/>
  <c r="D218" i="8"/>
  <c r="C218" i="8"/>
  <c r="E217" i="8"/>
  <c r="D217" i="8"/>
  <c r="C217" i="8"/>
  <c r="E216" i="8"/>
  <c r="D216" i="8"/>
  <c r="C216" i="8"/>
  <c r="E215" i="8"/>
  <c r="D215" i="8"/>
  <c r="C215" i="8"/>
  <c r="E214" i="8"/>
  <c r="D214" i="8"/>
  <c r="C214" i="8"/>
  <c r="E213" i="8"/>
  <c r="D213" i="8"/>
  <c r="C213" i="8"/>
  <c r="E212" i="8"/>
  <c r="D212" i="8"/>
  <c r="C212" i="8"/>
  <c r="E211" i="8"/>
  <c r="D211" i="8"/>
  <c r="C211" i="8"/>
  <c r="E210" i="8"/>
  <c r="D210" i="8"/>
  <c r="C210" i="8"/>
  <c r="E209" i="8"/>
  <c r="D209" i="8"/>
  <c r="C209" i="8"/>
  <c r="E208" i="8"/>
  <c r="D208" i="8"/>
  <c r="C208" i="8"/>
  <c r="E207" i="8"/>
  <c r="D207" i="8"/>
  <c r="C207" i="8"/>
  <c r="E206" i="8"/>
  <c r="D206" i="8"/>
  <c r="C206" i="8"/>
  <c r="E205" i="8"/>
  <c r="D205" i="8"/>
  <c r="C205" i="8"/>
  <c r="E204" i="8"/>
  <c r="D204" i="8"/>
  <c r="C204" i="8"/>
  <c r="E203" i="8"/>
  <c r="D203" i="8"/>
  <c r="C203" i="8"/>
  <c r="E202" i="8"/>
  <c r="D202" i="8"/>
  <c r="C202" i="8"/>
  <c r="E201" i="8"/>
  <c r="D201" i="8"/>
  <c r="C201" i="8"/>
  <c r="E200" i="8"/>
  <c r="D200" i="8"/>
  <c r="C200" i="8"/>
  <c r="E191" i="8" l="1"/>
  <c r="C191" i="8" s="1"/>
  <c r="H198" i="8" s="1"/>
  <c r="E190" i="8"/>
  <c r="C190" i="8" s="1"/>
  <c r="H247" i="8" l="1"/>
  <c r="H327" i="8"/>
  <c r="H319" i="8"/>
  <c r="H219" i="8"/>
  <c r="H269" i="8"/>
  <c r="H210" i="8"/>
  <c r="H218" i="8"/>
  <c r="H289" i="8"/>
  <c r="H260" i="8"/>
  <c r="H290" i="8"/>
  <c r="H274" i="8"/>
  <c r="H261" i="8"/>
  <c r="H253" i="8"/>
  <c r="H244" i="8"/>
  <c r="H235" i="8"/>
  <c r="H222" i="8"/>
  <c r="H214" i="8"/>
  <c r="H202" i="8"/>
  <c r="H318" i="8"/>
  <c r="H252" i="8"/>
  <c r="H230" i="8"/>
  <c r="H213" i="8"/>
  <c r="H298" i="8"/>
  <c r="H294" i="8"/>
  <c r="H278" i="8"/>
  <c r="H265" i="8"/>
  <c r="H248" i="8"/>
  <c r="H239" i="8"/>
  <c r="H310" i="8"/>
  <c r="H286" i="8"/>
  <c r="H256" i="8"/>
  <c r="H322" i="8"/>
  <c r="H243" i="8"/>
  <c r="H206" i="8"/>
  <c r="H306" i="8"/>
  <c r="H293" i="8"/>
  <c r="H273" i="8"/>
  <c r="H264" i="8"/>
  <c r="H201" i="8"/>
  <c r="H297" i="8"/>
  <c r="H238" i="8"/>
  <c r="H309" i="8"/>
  <c r="H285" i="8"/>
  <c r="H281" i="8"/>
  <c r="H277" i="8"/>
  <c r="H268" i="8"/>
  <c r="H325" i="8"/>
  <c r="H321" i="8"/>
  <c r="H317" i="8"/>
  <c r="H313" i="8"/>
  <c r="H301" i="8"/>
  <c r="H255" i="8"/>
  <c r="H251" i="8"/>
  <c r="H225" i="8"/>
  <c r="H221" i="8"/>
  <c r="H217" i="8"/>
  <c r="H209" i="8"/>
  <c r="H205" i="8"/>
  <c r="H305" i="8"/>
  <c r="H288" i="8"/>
  <c r="H272" i="8"/>
  <c r="H242" i="8"/>
  <c r="H233" i="8"/>
  <c r="H229" i="8"/>
  <c r="H296" i="8"/>
  <c r="H292" i="8"/>
  <c r="H263" i="8"/>
  <c r="H259" i="8"/>
  <c r="H237" i="8"/>
  <c r="H284" i="8"/>
  <c r="H280" i="8"/>
  <c r="H276" i="8"/>
  <c r="H267" i="8"/>
  <c r="H212" i="8"/>
  <c r="H246" i="8"/>
  <c r="H224" i="8"/>
  <c r="H216" i="8"/>
  <c r="H208" i="8"/>
  <c r="H204" i="8"/>
  <c r="H316" i="8"/>
  <c r="H312" i="8"/>
  <c r="H308" i="8"/>
  <c r="H300" i="8"/>
  <c r="H320" i="8"/>
  <c r="H304" i="8"/>
  <c r="H271" i="8"/>
  <c r="H250" i="8"/>
  <c r="H241" i="8"/>
  <c r="H232" i="8"/>
  <c r="H228" i="8"/>
  <c r="H324" i="8"/>
  <c r="H295" i="8"/>
  <c r="H258" i="8"/>
  <c r="H220" i="8"/>
  <c r="H200" i="8"/>
  <c r="H291" i="8"/>
  <c r="H287" i="8"/>
  <c r="H275" i="8"/>
  <c r="H262" i="8"/>
  <c r="H254" i="8"/>
  <c r="H236" i="8"/>
  <c r="H211" i="8"/>
  <c r="H245" i="8"/>
  <c r="H223" i="8"/>
  <c r="H203" i="8"/>
  <c r="H315" i="8"/>
  <c r="H311" i="8"/>
  <c r="H299" i="8"/>
  <c r="H283" i="8"/>
  <c r="H279" i="8"/>
  <c r="H266" i="8"/>
  <c r="H249" i="8"/>
  <c r="H240" i="8"/>
  <c r="H215" i="8"/>
  <c r="H323" i="8"/>
  <c r="H307" i="8"/>
  <c r="H303" i="8"/>
  <c r="H270" i="8"/>
  <c r="H257" i="8"/>
  <c r="H231" i="8"/>
  <c r="H227" i="8"/>
  <c r="H207" i="8"/>
  <c r="H314" i="8"/>
  <c r="H302" i="8"/>
  <c r="H282" i="8"/>
  <c r="H326" i="8"/>
  <c r="H226" i="8"/>
  <c r="H234" i="8"/>
  <c r="M198" i="8"/>
  <c r="C195" i="8"/>
  <c r="C194" i="8"/>
  <c r="N198" i="8" l="1"/>
  <c r="O198" i="8" s="1"/>
  <c r="Q198" i="8" s="1"/>
  <c r="N309" i="8"/>
  <c r="N289" i="8"/>
  <c r="N269" i="8"/>
  <c r="N249" i="8"/>
  <c r="N209" i="8"/>
  <c r="N282" i="8"/>
  <c r="N241" i="8"/>
  <c r="N300" i="8"/>
  <c r="N219" i="8"/>
  <c r="N308" i="8"/>
  <c r="N288" i="8"/>
  <c r="N268" i="8"/>
  <c r="N248" i="8"/>
  <c r="N228" i="8"/>
  <c r="N208" i="8"/>
  <c r="N285" i="8"/>
  <c r="N245" i="8"/>
  <c r="N205" i="8"/>
  <c r="N304" i="8"/>
  <c r="N264" i="8"/>
  <c r="N204" i="8"/>
  <c r="N283" i="8"/>
  <c r="N243" i="8"/>
  <c r="N302" i="8"/>
  <c r="N261" i="8"/>
  <c r="N260" i="8"/>
  <c r="N259" i="8"/>
  <c r="N327" i="8"/>
  <c r="N307" i="8"/>
  <c r="N287" i="8"/>
  <c r="N267" i="8"/>
  <c r="N247" i="8"/>
  <c r="N227" i="8"/>
  <c r="N207" i="8"/>
  <c r="N305" i="8"/>
  <c r="N265" i="8"/>
  <c r="N324" i="8"/>
  <c r="N244" i="8"/>
  <c r="N303" i="8"/>
  <c r="N223" i="8"/>
  <c r="N262" i="8"/>
  <c r="N281" i="8"/>
  <c r="N240" i="8"/>
  <c r="N239" i="8"/>
  <c r="N326" i="8"/>
  <c r="N306" i="8"/>
  <c r="N286" i="8"/>
  <c r="N266" i="8"/>
  <c r="N246" i="8"/>
  <c r="N226" i="8"/>
  <c r="N206" i="8"/>
  <c r="N325" i="8"/>
  <c r="N225" i="8"/>
  <c r="N284" i="8"/>
  <c r="N224" i="8"/>
  <c r="N323" i="8"/>
  <c r="N203" i="8"/>
  <c r="N242" i="8"/>
  <c r="N301" i="8"/>
  <c r="N220" i="8"/>
  <c r="N279" i="8"/>
  <c r="N318" i="8"/>
  <c r="N298" i="8"/>
  <c r="N278" i="8"/>
  <c r="N258" i="8"/>
  <c r="N238" i="8"/>
  <c r="N218" i="8"/>
  <c r="N317" i="8"/>
  <c r="N297" i="8"/>
  <c r="N277" i="8"/>
  <c r="N257" i="8"/>
  <c r="N237" i="8"/>
  <c r="N217" i="8"/>
  <c r="N316" i="8"/>
  <c r="N296" i="8"/>
  <c r="N276" i="8"/>
  <c r="N256" i="8"/>
  <c r="N236" i="8"/>
  <c r="N216" i="8"/>
  <c r="N315" i="8"/>
  <c r="N295" i="8"/>
  <c r="N275" i="8"/>
  <c r="N255" i="8"/>
  <c r="N235" i="8"/>
  <c r="N215" i="8"/>
  <c r="N314" i="8"/>
  <c r="N294" i="8"/>
  <c r="N274" i="8"/>
  <c r="N254" i="8"/>
  <c r="N234" i="8"/>
  <c r="N214" i="8"/>
  <c r="N313" i="8"/>
  <c r="N293" i="8"/>
  <c r="N273" i="8"/>
  <c r="N253" i="8"/>
  <c r="N233" i="8"/>
  <c r="N213" i="8"/>
  <c r="N280" i="8"/>
  <c r="N299" i="8"/>
  <c r="N312" i="8"/>
  <c r="N292" i="8"/>
  <c r="N272" i="8"/>
  <c r="N252" i="8"/>
  <c r="N232" i="8"/>
  <c r="N212" i="8"/>
  <c r="N311" i="8"/>
  <c r="N291" i="8"/>
  <c r="N271" i="8"/>
  <c r="N251" i="8"/>
  <c r="N231" i="8"/>
  <c r="N211" i="8"/>
  <c r="N310" i="8"/>
  <c r="N290" i="8"/>
  <c r="N270" i="8"/>
  <c r="N250" i="8"/>
  <c r="N230" i="8"/>
  <c r="N210" i="8"/>
  <c r="N229" i="8"/>
  <c r="N263" i="8"/>
  <c r="N322" i="8"/>
  <c r="N222" i="8"/>
  <c r="N202" i="8"/>
  <c r="N321" i="8"/>
  <c r="N221" i="8"/>
  <c r="N201" i="8"/>
  <c r="N320" i="8"/>
  <c r="N200" i="8"/>
  <c r="N319" i="8"/>
  <c r="M312" i="8"/>
  <c r="M244" i="8"/>
  <c r="M235" i="8"/>
  <c r="M269" i="8"/>
  <c r="M252" i="8"/>
  <c r="M218" i="8"/>
  <c r="M276" i="8"/>
  <c r="M232" i="8"/>
  <c r="M240" i="8"/>
  <c r="M200" i="8"/>
  <c r="M291" i="8"/>
  <c r="M256" i="8"/>
  <c r="M207" i="8"/>
  <c r="M307" i="8"/>
  <c r="M247" i="8"/>
  <c r="M314" i="8"/>
  <c r="M221" i="8"/>
  <c r="M289" i="8"/>
  <c r="M306" i="8"/>
  <c r="M205" i="8"/>
  <c r="M295" i="8"/>
  <c r="M262" i="8"/>
  <c r="M228" i="8"/>
  <c r="M320" i="8"/>
  <c r="M304" i="8"/>
  <c r="M287" i="8"/>
  <c r="M279" i="8"/>
  <c r="M270" i="8"/>
  <c r="M261" i="8"/>
  <c r="M253" i="8"/>
  <c r="M219" i="8"/>
  <c r="M203" i="8"/>
  <c r="M311" i="8"/>
  <c r="M243" i="8"/>
  <c r="M227" i="8"/>
  <c r="M319" i="8"/>
  <c r="M278" i="8"/>
  <c r="M260" i="8"/>
  <c r="M234" i="8"/>
  <c r="M210" i="8"/>
  <c r="M202" i="8"/>
  <c r="M209" i="8"/>
  <c r="M326" i="8"/>
  <c r="M267" i="8"/>
  <c r="M292" i="8"/>
  <c r="M284" i="8"/>
  <c r="M250" i="8"/>
  <c r="M208" i="8"/>
  <c r="M316" i="8"/>
  <c r="M308" i="8"/>
  <c r="M266" i="8"/>
  <c r="M239" i="8"/>
  <c r="M315" i="8"/>
  <c r="M274" i="8"/>
  <c r="M214" i="8"/>
  <c r="M323" i="8"/>
  <c r="M290" i="8"/>
  <c r="M297" i="8"/>
  <c r="M255" i="8"/>
  <c r="M213" i="8"/>
  <c r="M296" i="8"/>
  <c r="M263" i="8"/>
  <c r="M294" i="8"/>
  <c r="M285" i="8"/>
  <c r="M317" i="8"/>
  <c r="M258" i="8"/>
  <c r="M216" i="8"/>
  <c r="M309" i="8"/>
  <c r="M300" i="8"/>
  <c r="M324" i="8"/>
  <c r="M265" i="8"/>
  <c r="M222" i="8"/>
  <c r="M273" i="8"/>
  <c r="M230" i="8"/>
  <c r="M206" i="8"/>
  <c r="M272" i="8"/>
  <c r="M246" i="8"/>
  <c r="M212" i="8"/>
  <c r="M288" i="8"/>
  <c r="M280" i="8"/>
  <c r="M236" i="8"/>
  <c r="M305" i="8"/>
  <c r="M254" i="8"/>
  <c r="M220" i="8"/>
  <c r="M303" i="8"/>
  <c r="M257" i="8"/>
  <c r="M231" i="8"/>
  <c r="M299" i="8"/>
  <c r="M283" i="8"/>
  <c r="M248" i="8"/>
  <c r="M298" i="8"/>
  <c r="M264" i="8"/>
  <c r="M237" i="8"/>
  <c r="M322" i="8"/>
  <c r="M229" i="8"/>
  <c r="M321" i="8"/>
  <c r="M271" i="8"/>
  <c r="M211" i="8"/>
  <c r="M286" i="8"/>
  <c r="M242" i="8"/>
  <c r="M226" i="8"/>
  <c r="M327" i="8"/>
  <c r="M318" i="8"/>
  <c r="M310" i="8"/>
  <c r="M302" i="8"/>
  <c r="M293" i="8"/>
  <c r="M277" i="8"/>
  <c r="M268" i="8"/>
  <c r="M259" i="8"/>
  <c r="M251" i="8"/>
  <c r="M233" i="8"/>
  <c r="M217" i="8"/>
  <c r="M201" i="8"/>
  <c r="M241" i="8"/>
  <c r="M225" i="8"/>
  <c r="M301" i="8"/>
  <c r="M224" i="8"/>
  <c r="M325" i="8"/>
  <c r="M275" i="8"/>
  <c r="M215" i="8"/>
  <c r="M249" i="8"/>
  <c r="M223" i="8"/>
  <c r="M238" i="8"/>
  <c r="M282" i="8"/>
  <c r="M281" i="8"/>
  <c r="M313" i="8"/>
  <c r="M245" i="8"/>
  <c r="M204" i="8"/>
  <c r="O251" i="8" l="1"/>
  <c r="Q251" i="8" s="1"/>
  <c r="O300" i="8"/>
  <c r="Q300" i="8" s="1"/>
  <c r="O258" i="8"/>
  <c r="Q258" i="8" s="1"/>
  <c r="O242" i="8"/>
  <c r="Q242" i="8" s="1"/>
  <c r="O280" i="8"/>
  <c r="Q280" i="8" s="1"/>
  <c r="O213" i="8"/>
  <c r="Q213" i="8" s="1"/>
  <c r="O210" i="8"/>
  <c r="Q210" i="8" s="1"/>
  <c r="O237" i="8"/>
  <c r="Q237" i="8" s="1"/>
  <c r="O324" i="8"/>
  <c r="Q324" i="8" s="1"/>
  <c r="O308" i="8"/>
  <c r="Q308" i="8" s="1"/>
  <c r="O266" i="8"/>
  <c r="Q266" i="8" s="1"/>
  <c r="O323" i="8"/>
  <c r="Q323" i="8" s="1"/>
  <c r="O295" i="8"/>
  <c r="Q295" i="8" s="1"/>
  <c r="O219" i="8"/>
  <c r="Q219" i="8" s="1"/>
  <c r="O259" i="8"/>
  <c r="Q259" i="8" s="1"/>
  <c r="O302" i="8"/>
  <c r="Q302" i="8" s="1"/>
  <c r="O205" i="8"/>
  <c r="Q205" i="8" s="1"/>
  <c r="O241" i="8"/>
  <c r="Q241" i="8" s="1"/>
  <c r="O274" i="8"/>
  <c r="Q274" i="8" s="1"/>
  <c r="O201" i="8"/>
  <c r="Q201" i="8" s="1"/>
  <c r="O239" i="8"/>
  <c r="Q239" i="8" s="1"/>
  <c r="O203" i="8"/>
  <c r="Q203" i="8" s="1"/>
  <c r="O256" i="8"/>
  <c r="Q256" i="8" s="1"/>
  <c r="O218" i="8"/>
  <c r="Q218" i="8" s="1"/>
  <c r="O215" i="8"/>
  <c r="Q215" i="8" s="1"/>
  <c r="O286" i="8"/>
  <c r="Q286" i="8" s="1"/>
  <c r="O288" i="8"/>
  <c r="Q288" i="8" s="1"/>
  <c r="O234" i="8"/>
  <c r="Q234" i="8" s="1"/>
  <c r="O306" i="8"/>
  <c r="Q306" i="8" s="1"/>
  <c r="O311" i="8"/>
  <c r="Q311" i="8" s="1"/>
  <c r="O291" i="8"/>
  <c r="Q291" i="8" s="1"/>
  <c r="O211" i="8"/>
  <c r="Q211" i="8" s="1"/>
  <c r="O287" i="8"/>
  <c r="Q287" i="8" s="1"/>
  <c r="O317" i="8"/>
  <c r="Q317" i="8" s="1"/>
  <c r="O318" i="8"/>
  <c r="Q318" i="8" s="1"/>
  <c r="O294" i="8"/>
  <c r="Q294" i="8" s="1"/>
  <c r="O327" i="8"/>
  <c r="Q327" i="8" s="1"/>
  <c r="O297" i="8"/>
  <c r="Q297" i="8" s="1"/>
  <c r="O278" i="8"/>
  <c r="Q278" i="8" s="1"/>
  <c r="O325" i="8"/>
  <c r="Q325" i="8" s="1"/>
  <c r="O212" i="8"/>
  <c r="Q212" i="8" s="1"/>
  <c r="O319" i="8"/>
  <c r="Q319" i="8" s="1"/>
  <c r="O271" i="8"/>
  <c r="Q271" i="8" s="1"/>
  <c r="O246" i="8"/>
  <c r="Q246" i="8" s="1"/>
  <c r="O221" i="8"/>
  <c r="Q221" i="8" s="1"/>
  <c r="O200" i="8"/>
  <c r="Q200" i="8" s="1"/>
  <c r="O262" i="8"/>
  <c r="Q262" i="8" s="1"/>
  <c r="O289" i="8"/>
  <c r="Q289" i="8" s="1"/>
  <c r="O224" i="8"/>
  <c r="Q224" i="8" s="1"/>
  <c r="O321" i="8"/>
  <c r="Q321" i="8" s="1"/>
  <c r="O222" i="8"/>
  <c r="Q222" i="8" s="1"/>
  <c r="O233" i="8"/>
  <c r="Q233" i="8" s="1"/>
  <c r="O248" i="8"/>
  <c r="Q248" i="8" s="1"/>
  <c r="O315" i="8"/>
  <c r="Q315" i="8" s="1"/>
  <c r="O217" i="8"/>
  <c r="Q217" i="8" s="1"/>
  <c r="O316" i="8"/>
  <c r="Q316" i="8" s="1"/>
  <c r="O240" i="8"/>
  <c r="Q240" i="8" s="1"/>
  <c r="O272" i="8"/>
  <c r="Q272" i="8" s="1"/>
  <c r="O265" i="8"/>
  <c r="Q265" i="8" s="1"/>
  <c r="O253" i="8"/>
  <c r="Q253" i="8" s="1"/>
  <c r="O204" i="8"/>
  <c r="Q204" i="8" s="1"/>
  <c r="O309" i="8"/>
  <c r="Q309" i="8" s="1"/>
  <c r="O243" i="8"/>
  <c r="Q243" i="8" s="1"/>
  <c r="O273" i="8"/>
  <c r="Q273" i="8" s="1"/>
  <c r="O283" i="8"/>
  <c r="Q283" i="8" s="1"/>
  <c r="O279" i="8"/>
  <c r="Q279" i="8" s="1"/>
  <c r="O275" i="8"/>
  <c r="Q275" i="8" s="1"/>
  <c r="O255" i="8"/>
  <c r="Q255" i="8" s="1"/>
  <c r="O207" i="8"/>
  <c r="Q207" i="8" s="1"/>
  <c r="O298" i="8"/>
  <c r="Q298" i="8" s="1"/>
  <c r="O313" i="8"/>
  <c r="Q313" i="8" s="1"/>
  <c r="O293" i="8"/>
  <c r="Q293" i="8" s="1"/>
  <c r="O257" i="8"/>
  <c r="Q257" i="8" s="1"/>
  <c r="O284" i="8"/>
  <c r="Q284" i="8" s="1"/>
  <c r="O281" i="8"/>
  <c r="Q281" i="8" s="1"/>
  <c r="O292" i="8"/>
  <c r="Q292" i="8" s="1"/>
  <c r="O252" i="8"/>
  <c r="Q252" i="8" s="1"/>
  <c r="O202" i="8"/>
  <c r="Q202" i="8" s="1"/>
  <c r="O230" i="8"/>
  <c r="Q230" i="8" s="1"/>
  <c r="O264" i="8"/>
  <c r="Q264" i="8" s="1"/>
  <c r="O285" i="8"/>
  <c r="Q285" i="8" s="1"/>
  <c r="O269" i="8"/>
  <c r="Q269" i="8" s="1"/>
  <c r="O290" i="8"/>
  <c r="Q290" i="8" s="1"/>
  <c r="O301" i="8"/>
  <c r="Q301" i="8" s="1"/>
  <c r="O314" i="8"/>
  <c r="Q314" i="8" s="1"/>
  <c r="O260" i="8"/>
  <c r="Q260" i="8" s="1"/>
  <c r="O225" i="8"/>
  <c r="Q225" i="8" s="1"/>
  <c r="O229" i="8"/>
  <c r="Q229" i="8" s="1"/>
  <c r="O206" i="8"/>
  <c r="Q206" i="8" s="1"/>
  <c r="O214" i="8"/>
  <c r="Q214" i="8" s="1"/>
  <c r="O227" i="8"/>
  <c r="Q227" i="8" s="1"/>
  <c r="O247" i="8"/>
  <c r="Q247" i="8" s="1"/>
  <c r="O322" i="8"/>
  <c r="Q322" i="8" s="1"/>
  <c r="O307" i="8"/>
  <c r="Q307" i="8" s="1"/>
  <c r="O268" i="8"/>
  <c r="Q268" i="8" s="1"/>
  <c r="O299" i="8"/>
  <c r="Q299" i="8" s="1"/>
  <c r="O208" i="8"/>
  <c r="Q208" i="8" s="1"/>
  <c r="O270" i="8"/>
  <c r="Q270" i="8" s="1"/>
  <c r="O232" i="8"/>
  <c r="Q232" i="8" s="1"/>
  <c r="O261" i="8"/>
  <c r="Q261" i="8" s="1"/>
  <c r="O245" i="8"/>
  <c r="Q245" i="8" s="1"/>
  <c r="O277" i="8"/>
  <c r="Q277" i="8" s="1"/>
  <c r="O231" i="8"/>
  <c r="Q231" i="8" s="1"/>
  <c r="O216" i="8"/>
  <c r="Q216" i="8" s="1"/>
  <c r="O250" i="8"/>
  <c r="Q250" i="8" s="1"/>
  <c r="O276" i="8"/>
  <c r="Q276" i="8" s="1"/>
  <c r="O303" i="8"/>
  <c r="Q303" i="8" s="1"/>
  <c r="O282" i="8"/>
  <c r="Q282" i="8" s="1"/>
  <c r="O220" i="8"/>
  <c r="Q220" i="8" s="1"/>
  <c r="O267" i="8"/>
  <c r="Q267" i="8" s="1"/>
  <c r="O238" i="8"/>
  <c r="Q238" i="8" s="1"/>
  <c r="O254" i="8"/>
  <c r="Q254" i="8" s="1"/>
  <c r="O326" i="8"/>
  <c r="Q326" i="8" s="1"/>
  <c r="O228" i="8"/>
  <c r="Q228" i="8" s="1"/>
  <c r="O235" i="8"/>
  <c r="Q235" i="8" s="1"/>
  <c r="O304" i="8"/>
  <c r="Q304" i="8" s="1"/>
  <c r="O320" i="8"/>
  <c r="Q320" i="8" s="1"/>
  <c r="O305" i="8"/>
  <c r="Q305" i="8" s="1"/>
  <c r="O263" i="8"/>
  <c r="Q263" i="8" s="1"/>
  <c r="O209" i="8"/>
  <c r="Q209" i="8" s="1"/>
  <c r="O244" i="8"/>
  <c r="Q244" i="8" s="1"/>
  <c r="O310" i="8"/>
  <c r="Q310" i="8" s="1"/>
  <c r="O223" i="8"/>
  <c r="Q223" i="8" s="1"/>
  <c r="O249" i="8"/>
  <c r="Q249" i="8" s="1"/>
  <c r="O226" i="8"/>
  <c r="Q226" i="8" s="1"/>
  <c r="O236" i="8"/>
  <c r="Q236" i="8" s="1"/>
  <c r="O296" i="8"/>
  <c r="Q296" i="8" s="1"/>
  <c r="O312" i="8"/>
  <c r="Q312" i="8" s="1"/>
  <c r="F27" i="1" l="1"/>
  <c r="G66" i="1" l="1"/>
  <c r="E94" i="7" s="1"/>
  <c r="G65" i="1"/>
  <c r="E93" i="7" s="1"/>
  <c r="G64" i="1"/>
  <c r="E92" i="7" s="1"/>
  <c r="R4" i="6"/>
  <c r="U4" i="6" s="1"/>
  <c r="F49" i="1" s="1"/>
  <c r="U5" i="8"/>
  <c r="AW178" i="8"/>
  <c r="F56" i="1" l="1"/>
  <c r="G56" i="1" s="1"/>
  <c r="G52" i="1"/>
  <c r="G53" i="1"/>
  <c r="F50" i="1"/>
  <c r="F51" i="1" s="1"/>
  <c r="G55" i="1" l="1"/>
  <c r="G57" i="1" s="1"/>
  <c r="F57" i="1"/>
  <c r="C40" i="8" l="1"/>
  <c r="AW177" i="8" l="1"/>
  <c r="AW176" i="8"/>
  <c r="AW175" i="8"/>
  <c r="AW174" i="8"/>
  <c r="AW173" i="8"/>
  <c r="AW172" i="8"/>
  <c r="AW171" i="8"/>
  <c r="AW170" i="8"/>
  <c r="AW169" i="8"/>
  <c r="AW168" i="8"/>
  <c r="AW167" i="8"/>
  <c r="AW166" i="8"/>
  <c r="AW165" i="8"/>
  <c r="AW164" i="8"/>
  <c r="AW163" i="8"/>
  <c r="AW162" i="8"/>
  <c r="AW161" i="8"/>
  <c r="AW160" i="8"/>
  <c r="AW159" i="8"/>
  <c r="AW158" i="8"/>
  <c r="AW157" i="8"/>
  <c r="AW156" i="8"/>
  <c r="AW155" i="8"/>
  <c r="AW154" i="8"/>
  <c r="AW153" i="8"/>
  <c r="AW152" i="8"/>
  <c r="AW151" i="8"/>
  <c r="AW150" i="8"/>
  <c r="AW149" i="8"/>
  <c r="AW148" i="8"/>
  <c r="AW147" i="8"/>
  <c r="AW146" i="8"/>
  <c r="AW145" i="8"/>
  <c r="AW144" i="8"/>
  <c r="AW143" i="8"/>
  <c r="AW142" i="8"/>
  <c r="AW141" i="8"/>
  <c r="AW140" i="8"/>
  <c r="AW139" i="8"/>
  <c r="AW138" i="8"/>
  <c r="AW137" i="8"/>
  <c r="AW136" i="8"/>
  <c r="AW135" i="8"/>
  <c r="AW134" i="8"/>
  <c r="AW133" i="8"/>
  <c r="AW132" i="8"/>
  <c r="AW131" i="8"/>
  <c r="AW130" i="8"/>
  <c r="AW129" i="8"/>
  <c r="AW128" i="8"/>
  <c r="AW127" i="8"/>
  <c r="AW126" i="8"/>
  <c r="AW125" i="8"/>
  <c r="AW124" i="8"/>
  <c r="AW123" i="8"/>
  <c r="AW122" i="8"/>
  <c r="AW121" i="8"/>
  <c r="AW120" i="8"/>
  <c r="AW119" i="8"/>
  <c r="AW118" i="8"/>
  <c r="AW117" i="8"/>
  <c r="AW116" i="8"/>
  <c r="AW115" i="8"/>
  <c r="AW114" i="8"/>
  <c r="AW113" i="8"/>
  <c r="AW112" i="8"/>
  <c r="AW111" i="8"/>
  <c r="AW110" i="8"/>
  <c r="AW109" i="8"/>
  <c r="AW108" i="8"/>
  <c r="AW107" i="8"/>
  <c r="AW106" i="8"/>
  <c r="AW105" i="8"/>
  <c r="AW104" i="8"/>
  <c r="AW103" i="8"/>
  <c r="AW102" i="8"/>
  <c r="AW101" i="8"/>
  <c r="AW100" i="8"/>
  <c r="AW99" i="8"/>
  <c r="AW98" i="8"/>
  <c r="AW97" i="8"/>
  <c r="AW96" i="8"/>
  <c r="AW95" i="8"/>
  <c r="AW94" i="8"/>
  <c r="AW93" i="8"/>
  <c r="AW92" i="8"/>
  <c r="AW91" i="8"/>
  <c r="AW90" i="8"/>
  <c r="AW89" i="8"/>
  <c r="AW88" i="8"/>
  <c r="AW87" i="8"/>
  <c r="AW86" i="8"/>
  <c r="AW85" i="8"/>
  <c r="AW84" i="8"/>
  <c r="AW83" i="8"/>
  <c r="AW82" i="8"/>
  <c r="AW81" i="8"/>
  <c r="AW80" i="8"/>
  <c r="AW79" i="8"/>
  <c r="AW78" i="8"/>
  <c r="AW77" i="8"/>
  <c r="AW76" i="8"/>
  <c r="AW75" i="8"/>
  <c r="AW74" i="8"/>
  <c r="AW73" i="8"/>
  <c r="AW72" i="8"/>
  <c r="AW71" i="8"/>
  <c r="AW70" i="8"/>
  <c r="AW69" i="8"/>
  <c r="AW68" i="8"/>
  <c r="AW67" i="8"/>
  <c r="AW66" i="8"/>
  <c r="AW65" i="8"/>
  <c r="AW64" i="8"/>
  <c r="AW63" i="8"/>
  <c r="AW62" i="8"/>
  <c r="AW61" i="8"/>
  <c r="AW60" i="8"/>
  <c r="AW59" i="8"/>
  <c r="AW58" i="8"/>
  <c r="AW57" i="8"/>
  <c r="AW56" i="8"/>
  <c r="AW55" i="8"/>
  <c r="AW54" i="8"/>
  <c r="AW53" i="8"/>
  <c r="AW52" i="8"/>
  <c r="AW51" i="8"/>
  <c r="C178" i="8" l="1"/>
  <c r="D178" i="8" s="1"/>
  <c r="D328" i="8" s="1"/>
  <c r="N328" i="8" l="1"/>
  <c r="H328" i="8"/>
  <c r="M328" i="8"/>
  <c r="E178" i="8"/>
  <c r="E328" i="8" s="1"/>
  <c r="X5" i="8"/>
  <c r="O328" i="8" l="1"/>
  <c r="Q328" i="8" s="1"/>
  <c r="AW50" i="8"/>
  <c r="K8" i="8"/>
  <c r="F123" i="1" s="1"/>
  <c r="O14" i="8"/>
  <c r="N14" i="8" s="1"/>
  <c r="O13" i="8"/>
  <c r="N13" i="8" s="1"/>
  <c r="O12" i="8"/>
  <c r="N12" i="8" s="1"/>
  <c r="O11" i="8"/>
  <c r="N11" i="8" s="1"/>
  <c r="O10" i="8"/>
  <c r="N10" i="8" s="1"/>
  <c r="O9" i="8"/>
  <c r="N9" i="8" s="1"/>
  <c r="O8" i="8"/>
  <c r="N8" i="8" s="1"/>
  <c r="C50" i="8"/>
  <c r="D50" i="8" s="1"/>
  <c r="E50" i="8" s="1"/>
  <c r="C54" i="8"/>
  <c r="D54" i="8" s="1"/>
  <c r="E54" i="8" s="1"/>
  <c r="C53" i="8"/>
  <c r="D53" i="8" s="1"/>
  <c r="C52" i="8"/>
  <c r="D52" i="8" s="1"/>
  <c r="C51" i="8"/>
  <c r="D51" i="8" s="1"/>
  <c r="E51" i="8" s="1"/>
  <c r="B79" i="8"/>
  <c r="B104" i="8" s="1"/>
  <c r="B129" i="8" s="1"/>
  <c r="B154" i="8" s="1"/>
  <c r="C154" i="8" s="1"/>
  <c r="D154" i="8" s="1"/>
  <c r="E154" i="8" s="1"/>
  <c r="B78" i="8"/>
  <c r="B103" i="8" s="1"/>
  <c r="B128" i="8" s="1"/>
  <c r="B153" i="8" s="1"/>
  <c r="C153" i="8" s="1"/>
  <c r="D153" i="8" s="1"/>
  <c r="B55" i="8"/>
  <c r="B56" i="8" s="1"/>
  <c r="B81" i="8" s="1"/>
  <c r="B106" i="8" s="1"/>
  <c r="B131" i="8" s="1"/>
  <c r="B156" i="8" s="1"/>
  <c r="C156" i="8" s="1"/>
  <c r="D156" i="8" s="1"/>
  <c r="C23" i="8"/>
  <c r="C20" i="8"/>
  <c r="D20" i="8"/>
  <c r="C14" i="8"/>
  <c r="C12" i="8"/>
  <c r="C6" i="8"/>
  <c r="C5" i="8"/>
  <c r="D39" i="7" l="1"/>
  <c r="D55" i="7" s="1"/>
  <c r="K21" i="8"/>
  <c r="K35" i="8"/>
  <c r="K36" i="8"/>
  <c r="AD178" i="8"/>
  <c r="AC54" i="8"/>
  <c r="AC53" i="8"/>
  <c r="AC154" i="8"/>
  <c r="AC52" i="8"/>
  <c r="AC51" i="8"/>
  <c r="AC156" i="8"/>
  <c r="AC153" i="8"/>
  <c r="AC178" i="8"/>
  <c r="AF178" i="8"/>
  <c r="AF172" i="8"/>
  <c r="AF151" i="8"/>
  <c r="AF141" i="8"/>
  <c r="AF131" i="8"/>
  <c r="AF121" i="8"/>
  <c r="AF111" i="8"/>
  <c r="AF80" i="8"/>
  <c r="AF70" i="8"/>
  <c r="AF60" i="8"/>
  <c r="AF127" i="8"/>
  <c r="AF166" i="8"/>
  <c r="AF84" i="8"/>
  <c r="AF144" i="8"/>
  <c r="AF161" i="8"/>
  <c r="AF100" i="8"/>
  <c r="AF90" i="8"/>
  <c r="AF76" i="8"/>
  <c r="AF95" i="8"/>
  <c r="AF145" i="8"/>
  <c r="AF171" i="8"/>
  <c r="AF150" i="8"/>
  <c r="AF140" i="8"/>
  <c r="AF130" i="8"/>
  <c r="AF120" i="8"/>
  <c r="AF110" i="8"/>
  <c r="AF79" i="8"/>
  <c r="AF69" i="8"/>
  <c r="AF59" i="8"/>
  <c r="AF107" i="8"/>
  <c r="AF66" i="8"/>
  <c r="AF156" i="8"/>
  <c r="AF134" i="8"/>
  <c r="AF160" i="8"/>
  <c r="AF99" i="8"/>
  <c r="AF89" i="8"/>
  <c r="AF137" i="8"/>
  <c r="AF105" i="8"/>
  <c r="AF74" i="8"/>
  <c r="AF114" i="8"/>
  <c r="AF170" i="8"/>
  <c r="AF149" i="8"/>
  <c r="AF139" i="8"/>
  <c r="AF129" i="8"/>
  <c r="AF119" i="8"/>
  <c r="AF109" i="8"/>
  <c r="AF78" i="8"/>
  <c r="AF68" i="8"/>
  <c r="AF58" i="8"/>
  <c r="AF117" i="8"/>
  <c r="AF125" i="8"/>
  <c r="AF94" i="8"/>
  <c r="AF159" i="8"/>
  <c r="AF98" i="8"/>
  <c r="AF88" i="8"/>
  <c r="AF56" i="8"/>
  <c r="AF55" i="8"/>
  <c r="AF169" i="8"/>
  <c r="AF148" i="8"/>
  <c r="AF138" i="8"/>
  <c r="AF128" i="8"/>
  <c r="AF118" i="8"/>
  <c r="AF108" i="8"/>
  <c r="AF77" i="8"/>
  <c r="AF67" i="8"/>
  <c r="AF57" i="8"/>
  <c r="AF147" i="8"/>
  <c r="AF175" i="8"/>
  <c r="AF158" i="8"/>
  <c r="AF97" i="8"/>
  <c r="AF87" i="8"/>
  <c r="AF85" i="8"/>
  <c r="AF135" i="8"/>
  <c r="AF54" i="8"/>
  <c r="AF168" i="8"/>
  <c r="AF167" i="8"/>
  <c r="AF157" i="8"/>
  <c r="AF96" i="8"/>
  <c r="AF86" i="8"/>
  <c r="AF155" i="8"/>
  <c r="AF124" i="8"/>
  <c r="AF177" i="8"/>
  <c r="AF146" i="8"/>
  <c r="AF136" i="8"/>
  <c r="AF126" i="8"/>
  <c r="AF116" i="8"/>
  <c r="AF106" i="8"/>
  <c r="AF75" i="8"/>
  <c r="AF65" i="8"/>
  <c r="AF64" i="8"/>
  <c r="AF165" i="8"/>
  <c r="AF63" i="8"/>
  <c r="AF176" i="8"/>
  <c r="AF164" i="8"/>
  <c r="AF154" i="8"/>
  <c r="AF103" i="8"/>
  <c r="AF93" i="8"/>
  <c r="AF143" i="8"/>
  <c r="AF133" i="8"/>
  <c r="AF123" i="8"/>
  <c r="AF113" i="8"/>
  <c r="AF82" i="8"/>
  <c r="AF72" i="8"/>
  <c r="AF62" i="8"/>
  <c r="AF52" i="8"/>
  <c r="AF73" i="8"/>
  <c r="AF174" i="8"/>
  <c r="AF163" i="8"/>
  <c r="AF153" i="8"/>
  <c r="AF102" i="8"/>
  <c r="AF92" i="8"/>
  <c r="AF81" i="8"/>
  <c r="AF71" i="8"/>
  <c r="AF51" i="8"/>
  <c r="AF173" i="8"/>
  <c r="AF142" i="8"/>
  <c r="AF132" i="8"/>
  <c r="AF122" i="8"/>
  <c r="AF112" i="8"/>
  <c r="AF61" i="8"/>
  <c r="AF115" i="8"/>
  <c r="AF104" i="8"/>
  <c r="AF53" i="8"/>
  <c r="AF162" i="8"/>
  <c r="AF152" i="8"/>
  <c r="AF101" i="8"/>
  <c r="AF91" i="8"/>
  <c r="AF83" i="8"/>
  <c r="AG178" i="8"/>
  <c r="AG54" i="8"/>
  <c r="AG156" i="8"/>
  <c r="AG53" i="8"/>
  <c r="AG51" i="8"/>
  <c r="AG153" i="8"/>
  <c r="AG52" i="8"/>
  <c r="AG154" i="8"/>
  <c r="AH154" i="8" s="1"/>
  <c r="AD153" i="8"/>
  <c r="AD52" i="8"/>
  <c r="AD51" i="8"/>
  <c r="AD156" i="8"/>
  <c r="AD54" i="8"/>
  <c r="AD154" i="8"/>
  <c r="AD53" i="8"/>
  <c r="C24" i="8"/>
  <c r="C30" i="8" a="1"/>
  <c r="C30" i="8" s="1"/>
  <c r="AC50" i="8"/>
  <c r="E156" i="8"/>
  <c r="E153" i="8"/>
  <c r="E53" i="8"/>
  <c r="E52" i="8"/>
  <c r="AF50" i="8"/>
  <c r="AG50" i="8"/>
  <c r="AD50" i="8"/>
  <c r="C128" i="8"/>
  <c r="D128" i="8" s="1"/>
  <c r="AC128" i="8" s="1"/>
  <c r="C129" i="8"/>
  <c r="D129" i="8" s="1"/>
  <c r="AC129" i="8" s="1"/>
  <c r="C104" i="8"/>
  <c r="D104" i="8" s="1"/>
  <c r="AG104" i="8" s="1"/>
  <c r="C106" i="8"/>
  <c r="D106" i="8" s="1"/>
  <c r="AD106" i="8" s="1"/>
  <c r="C131" i="8"/>
  <c r="D131" i="8" s="1"/>
  <c r="AD131" i="8" s="1"/>
  <c r="C78" i="8"/>
  <c r="D78" i="8" s="1"/>
  <c r="AD78" i="8" s="1"/>
  <c r="C103" i="8"/>
  <c r="D103" i="8" s="1"/>
  <c r="AG103" i="8" s="1"/>
  <c r="C79" i="8"/>
  <c r="D79" i="8" s="1"/>
  <c r="AC79" i="8" s="1"/>
  <c r="C81" i="8"/>
  <c r="D81" i="8" s="1"/>
  <c r="AC81" i="8" s="1"/>
  <c r="B80" i="8"/>
  <c r="C56" i="8"/>
  <c r="D56" i="8" s="1"/>
  <c r="AC56" i="8" s="1"/>
  <c r="C55" i="8"/>
  <c r="D55" i="8" s="1"/>
  <c r="AD55" i="8" s="1"/>
  <c r="B57" i="8"/>
  <c r="C57" i="8" s="1"/>
  <c r="D57" i="8" s="1"/>
  <c r="AD57" i="8" s="1"/>
  <c r="F92" i="1" l="1"/>
  <c r="K22" i="8"/>
  <c r="K24" i="8" s="1"/>
  <c r="C25" i="8" s="1"/>
  <c r="E51" i="7"/>
  <c r="AE53" i="8"/>
  <c r="C37" i="8"/>
  <c r="Q178" i="8" s="1"/>
  <c r="AH52" i="8"/>
  <c r="AD103" i="8"/>
  <c r="AD129" i="8"/>
  <c r="AE129" i="8" s="1"/>
  <c r="AD56" i="8"/>
  <c r="AE56" i="8" s="1"/>
  <c r="AD79" i="8"/>
  <c r="AE79" i="8" s="1"/>
  <c r="AG78" i="8"/>
  <c r="AH78" i="8" s="1"/>
  <c r="AG106" i="8"/>
  <c r="AH106" i="8" s="1"/>
  <c r="AC103" i="8"/>
  <c r="AG55" i="8"/>
  <c r="AH55" i="8" s="1"/>
  <c r="AD104" i="8"/>
  <c r="AG56" i="8"/>
  <c r="AH56" i="8" s="1"/>
  <c r="AC131" i="8"/>
  <c r="AE131" i="8" s="1"/>
  <c r="AG131" i="8"/>
  <c r="AH131" i="8" s="1"/>
  <c r="AG129" i="8"/>
  <c r="AH129" i="8" s="1"/>
  <c r="AC55" i="8"/>
  <c r="AE55" i="8" s="1"/>
  <c r="AG79" i="8"/>
  <c r="AH79" i="8" s="1"/>
  <c r="AG128" i="8"/>
  <c r="AH128" i="8" s="1"/>
  <c r="AC106" i="8"/>
  <c r="AE106" i="8" s="1"/>
  <c r="AC57" i="8"/>
  <c r="AE57" i="8" s="1"/>
  <c r="AC78" i="8"/>
  <c r="AE78" i="8" s="1"/>
  <c r="AG57" i="8"/>
  <c r="AH57" i="8" s="1"/>
  <c r="AC104" i="8"/>
  <c r="AD81" i="8"/>
  <c r="AE81" i="8" s="1"/>
  <c r="AG81" i="8"/>
  <c r="AH81" i="8" s="1"/>
  <c r="AD128" i="8"/>
  <c r="AE128" i="8" s="1"/>
  <c r="AH178" i="8"/>
  <c r="AE52" i="8"/>
  <c r="R154" i="8"/>
  <c r="Q153" i="8"/>
  <c r="R50" i="8"/>
  <c r="R156" i="8"/>
  <c r="R54" i="8"/>
  <c r="R51" i="8"/>
  <c r="AE178" i="8"/>
  <c r="AH54" i="8"/>
  <c r="AH156" i="8"/>
  <c r="AH103" i="8"/>
  <c r="AE156" i="8"/>
  <c r="AH51" i="8"/>
  <c r="AE154" i="8"/>
  <c r="AI154" i="8" s="1"/>
  <c r="AL154" i="8" s="1"/>
  <c r="AE51" i="8"/>
  <c r="AE54" i="8"/>
  <c r="AH53" i="8"/>
  <c r="AH104" i="8"/>
  <c r="AE153" i="8"/>
  <c r="AH153" i="8"/>
  <c r="AE50" i="8"/>
  <c r="E129" i="8"/>
  <c r="R129" i="8" s="1"/>
  <c r="E128" i="8"/>
  <c r="Q128" i="8" s="1"/>
  <c r="E57" i="8"/>
  <c r="R57" i="8" s="1"/>
  <c r="E55" i="8"/>
  <c r="R55" i="8" s="1"/>
  <c r="E81" i="8"/>
  <c r="R81" i="8" s="1"/>
  <c r="E103" i="8"/>
  <c r="R103" i="8" s="1"/>
  <c r="E131" i="8"/>
  <c r="E56" i="8"/>
  <c r="R56" i="8" s="1"/>
  <c r="E79" i="8"/>
  <c r="E78" i="8"/>
  <c r="E106" i="8"/>
  <c r="E104" i="8"/>
  <c r="R104" i="8" s="1"/>
  <c r="AH50" i="8"/>
  <c r="B105" i="8"/>
  <c r="C80" i="8"/>
  <c r="D80" i="8" s="1"/>
  <c r="B82" i="8"/>
  <c r="B58" i="8"/>
  <c r="C58" i="8" s="1"/>
  <c r="D58" i="8" s="1"/>
  <c r="D90" i="7" l="1"/>
  <c r="D104" i="7"/>
  <c r="D98" i="7"/>
  <c r="C3" i="7"/>
  <c r="I101" i="7"/>
  <c r="H101" i="7"/>
  <c r="G101" i="7"/>
  <c r="C12" i="7"/>
  <c r="H12" i="7"/>
  <c r="I12" i="7"/>
  <c r="G12" i="7"/>
  <c r="R178" i="8"/>
  <c r="Q53" i="8"/>
  <c r="AI53" i="8"/>
  <c r="AL53" i="8" s="1"/>
  <c r="Q106" i="8"/>
  <c r="Q78" i="8"/>
  <c r="Q79" i="8"/>
  <c r="Q131" i="8"/>
  <c r="Q51" i="8"/>
  <c r="K25" i="8"/>
  <c r="R53" i="8"/>
  <c r="R52" i="8"/>
  <c r="R153" i="8"/>
  <c r="Q50" i="8"/>
  <c r="Q154" i="8"/>
  <c r="Q156" i="8"/>
  <c r="Q52" i="8"/>
  <c r="Q54" i="8"/>
  <c r="AE103" i="8"/>
  <c r="AI103" i="8" s="1"/>
  <c r="AJ103" i="8" s="1"/>
  <c r="AK103" i="8" s="1"/>
  <c r="AI52" i="8"/>
  <c r="AJ52" i="8" s="1"/>
  <c r="AK52" i="8" s="1"/>
  <c r="AI129" i="8"/>
  <c r="AJ129" i="8" s="1"/>
  <c r="AK129" i="8" s="1"/>
  <c r="AI55" i="8"/>
  <c r="AL55" i="8" s="1"/>
  <c r="AE104" i="8"/>
  <c r="AI104" i="8" s="1"/>
  <c r="AJ104" i="8" s="1"/>
  <c r="AK104" i="8" s="1"/>
  <c r="R131" i="8"/>
  <c r="Q55" i="8"/>
  <c r="Q57" i="8"/>
  <c r="R78" i="8"/>
  <c r="Q129" i="8"/>
  <c r="R79" i="8"/>
  <c r="R106" i="8"/>
  <c r="Q56" i="8"/>
  <c r="R128" i="8"/>
  <c r="Q103" i="8"/>
  <c r="Q104" i="8"/>
  <c r="Q81" i="8"/>
  <c r="AG58" i="8"/>
  <c r="AH58" i="8" s="1"/>
  <c r="AC58" i="8"/>
  <c r="AD58" i="8"/>
  <c r="AD80" i="8"/>
  <c r="AG80" i="8"/>
  <c r="AH80" i="8" s="1"/>
  <c r="AC80" i="8"/>
  <c r="AI178" i="8"/>
  <c r="AL178" i="8" s="1"/>
  <c r="AI106" i="8"/>
  <c r="AL106" i="8" s="1"/>
  <c r="AI128" i="8"/>
  <c r="AJ128" i="8" s="1"/>
  <c r="AK128" i="8" s="1"/>
  <c r="AI156" i="8"/>
  <c r="AJ156" i="8" s="1"/>
  <c r="AK156" i="8" s="1"/>
  <c r="AI79" i="8"/>
  <c r="AL79" i="8" s="1"/>
  <c r="AI54" i="8"/>
  <c r="AL54" i="8" s="1"/>
  <c r="AI81" i="8"/>
  <c r="AL81" i="8" s="1"/>
  <c r="AI51" i="8"/>
  <c r="AJ51" i="8" s="1"/>
  <c r="AK51" i="8" s="1"/>
  <c r="AI56" i="8"/>
  <c r="AJ56" i="8" s="1"/>
  <c r="AK56" i="8" s="1"/>
  <c r="AI57" i="8"/>
  <c r="AL57" i="8" s="1"/>
  <c r="AI78" i="8"/>
  <c r="AJ78" i="8" s="1"/>
  <c r="AK78" i="8" s="1"/>
  <c r="AJ154" i="8"/>
  <c r="AK154" i="8" s="1"/>
  <c r="AI131" i="8"/>
  <c r="AL131" i="8" s="1"/>
  <c r="AI153" i="8"/>
  <c r="AJ153" i="8" s="1"/>
  <c r="AK153" i="8" s="1"/>
  <c r="AI50" i="8"/>
  <c r="AL50" i="8" s="1"/>
  <c r="E58" i="8"/>
  <c r="E80" i="8"/>
  <c r="B107" i="8"/>
  <c r="C82" i="8"/>
  <c r="D82" i="8" s="1"/>
  <c r="B130" i="8"/>
  <c r="C105" i="8"/>
  <c r="D105" i="8" s="1"/>
  <c r="B83" i="8"/>
  <c r="B59" i="8"/>
  <c r="C59" i="8" s="1"/>
  <c r="D59" i="8" s="1"/>
  <c r="J101" i="7" l="1"/>
  <c r="J12" i="7"/>
  <c r="C14" i="7" s="1"/>
  <c r="AJ53" i="8"/>
  <c r="AK53" i="8" s="1"/>
  <c r="AL52" i="8"/>
  <c r="AL129" i="8"/>
  <c r="AJ55" i="8"/>
  <c r="AK55" i="8" s="1"/>
  <c r="AE80" i="8"/>
  <c r="AI80" i="8" s="1"/>
  <c r="AE58" i="8"/>
  <c r="AI58" i="8" s="1"/>
  <c r="AJ178" i="8"/>
  <c r="AK178" i="8" s="1"/>
  <c r="AG82" i="8"/>
  <c r="AH82" i="8" s="1"/>
  <c r="AC82" i="8"/>
  <c r="AD82" i="8"/>
  <c r="Q80" i="8"/>
  <c r="R80" i="8"/>
  <c r="Q58" i="8"/>
  <c r="R58" i="8"/>
  <c r="AD59" i="8"/>
  <c r="AC59" i="8"/>
  <c r="AG59" i="8"/>
  <c r="AH59" i="8" s="1"/>
  <c r="AD105" i="8"/>
  <c r="AC105" i="8"/>
  <c r="AG105" i="8"/>
  <c r="AH105" i="8" s="1"/>
  <c r="AL104" i="8"/>
  <c r="AJ106" i="8"/>
  <c r="AK106" i="8" s="1"/>
  <c r="AL128" i="8"/>
  <c r="AL156" i="8"/>
  <c r="AJ79" i="8"/>
  <c r="AK79" i="8" s="1"/>
  <c r="AJ54" i="8"/>
  <c r="AK54" i="8" s="1"/>
  <c r="AJ81" i="8"/>
  <c r="AK81" i="8" s="1"/>
  <c r="AL103" i="8"/>
  <c r="AL51" i="8"/>
  <c r="AL56" i="8"/>
  <c r="AJ57" i="8"/>
  <c r="AK57" i="8" s="1"/>
  <c r="AL78" i="8"/>
  <c r="AJ131" i="8"/>
  <c r="AK131" i="8" s="1"/>
  <c r="AL153" i="8"/>
  <c r="AJ50" i="8"/>
  <c r="AK50" i="8" s="1"/>
  <c r="E59" i="8"/>
  <c r="E105" i="8"/>
  <c r="E82" i="8"/>
  <c r="B132" i="8"/>
  <c r="C107" i="8"/>
  <c r="D107" i="8" s="1"/>
  <c r="B108" i="8"/>
  <c r="C83" i="8"/>
  <c r="D83" i="8" s="1"/>
  <c r="B155" i="8"/>
  <c r="C155" i="8" s="1"/>
  <c r="D155" i="8" s="1"/>
  <c r="C130" i="8"/>
  <c r="D130" i="8" s="1"/>
  <c r="B84" i="8"/>
  <c r="B60" i="8"/>
  <c r="C60" i="8" s="1"/>
  <c r="D60" i="8" s="1"/>
  <c r="D102" i="7" l="1"/>
  <c r="D101" i="7"/>
  <c r="C13" i="7"/>
  <c r="AL80" i="8"/>
  <c r="AJ80" i="8"/>
  <c r="AK80" i="8" s="1"/>
  <c r="AE105" i="8"/>
  <c r="AI105" i="8" s="1"/>
  <c r="AE59" i="8"/>
  <c r="AI59" i="8" s="1"/>
  <c r="AJ59" i="8" s="1"/>
  <c r="AK59" i="8" s="1"/>
  <c r="Q105" i="8"/>
  <c r="R105" i="8"/>
  <c r="R59" i="8"/>
  <c r="Q59" i="8"/>
  <c r="R82" i="8"/>
  <c r="Q82" i="8"/>
  <c r="AG60" i="8"/>
  <c r="AH60" i="8" s="1"/>
  <c r="AC60" i="8"/>
  <c r="AD60" i="8"/>
  <c r="AJ58" i="8"/>
  <c r="AK58" i="8" s="1"/>
  <c r="AL58" i="8"/>
  <c r="AC155" i="8"/>
  <c r="AG155" i="8"/>
  <c r="AH155" i="8" s="1"/>
  <c r="AD155" i="8"/>
  <c r="AG130" i="8"/>
  <c r="AH130" i="8" s="1"/>
  <c r="AC130" i="8"/>
  <c r="AD130" i="8"/>
  <c r="AD83" i="8"/>
  <c r="AC83" i="8"/>
  <c r="AG83" i="8"/>
  <c r="AH83" i="8" s="1"/>
  <c r="AE82" i="8"/>
  <c r="AI82" i="8" s="1"/>
  <c r="AG107" i="8"/>
  <c r="AH107" i="8" s="1"/>
  <c r="AD107" i="8"/>
  <c r="AC107" i="8"/>
  <c r="E107" i="8"/>
  <c r="E130" i="8"/>
  <c r="E155" i="8"/>
  <c r="E83" i="8"/>
  <c r="E60" i="8"/>
  <c r="B109" i="8"/>
  <c r="C84" i="8"/>
  <c r="D84" i="8" s="1"/>
  <c r="B133" i="8"/>
  <c r="C108" i="8"/>
  <c r="D108" i="8" s="1"/>
  <c r="B157" i="8"/>
  <c r="C157" i="8" s="1"/>
  <c r="D157" i="8" s="1"/>
  <c r="C132" i="8"/>
  <c r="D132" i="8" s="1"/>
  <c r="B85" i="8"/>
  <c r="B61" i="8"/>
  <c r="C61" i="8" s="1"/>
  <c r="D61" i="8" s="1"/>
  <c r="D103" i="7" l="1"/>
  <c r="D105" i="7" s="1"/>
  <c r="AJ105" i="8"/>
  <c r="AK105" i="8" s="1"/>
  <c r="AL105" i="8"/>
  <c r="AE83" i="8"/>
  <c r="AI83" i="8" s="1"/>
  <c r="AE107" i="8"/>
  <c r="AI107" i="8" s="1"/>
  <c r="AL107" i="8" s="1"/>
  <c r="AL59" i="8"/>
  <c r="AE155" i="8"/>
  <c r="AI155" i="8" s="1"/>
  <c r="AJ155" i="8" s="1"/>
  <c r="AK155" i="8" s="1"/>
  <c r="AG61" i="8"/>
  <c r="AH61" i="8" s="1"/>
  <c r="AC61" i="8"/>
  <c r="AD61" i="8"/>
  <c r="AD157" i="8"/>
  <c r="AC157" i="8"/>
  <c r="AG157" i="8"/>
  <c r="AH157" i="8" s="1"/>
  <c r="Q60" i="8"/>
  <c r="R60" i="8"/>
  <c r="R83" i="8"/>
  <c r="Q83" i="8"/>
  <c r="AE60" i="8"/>
  <c r="AI60" i="8" s="1"/>
  <c r="AE130" i="8"/>
  <c r="AI130" i="8" s="1"/>
  <c r="AG108" i="8"/>
  <c r="AH108" i="8" s="1"/>
  <c r="AC108" i="8"/>
  <c r="AD108" i="8"/>
  <c r="R130" i="8"/>
  <c r="Q130" i="8"/>
  <c r="AD132" i="8"/>
  <c r="AG132" i="8"/>
  <c r="AH132" i="8" s="1"/>
  <c r="AC132" i="8"/>
  <c r="R155" i="8"/>
  <c r="Q155" i="8"/>
  <c r="Q107" i="8"/>
  <c r="R107" i="8"/>
  <c r="AJ82" i="8"/>
  <c r="AK82" i="8" s="1"/>
  <c r="AL82" i="8"/>
  <c r="AC84" i="8"/>
  <c r="AD84" i="8"/>
  <c r="AG84" i="8"/>
  <c r="AH84" i="8" s="1"/>
  <c r="E108" i="8"/>
  <c r="E84" i="8"/>
  <c r="E61" i="8"/>
  <c r="E157" i="8"/>
  <c r="E132" i="8"/>
  <c r="B110" i="8"/>
  <c r="C85" i="8"/>
  <c r="D85" i="8" s="1"/>
  <c r="B158" i="8"/>
  <c r="C158" i="8" s="1"/>
  <c r="D158" i="8" s="1"/>
  <c r="C133" i="8"/>
  <c r="D133" i="8" s="1"/>
  <c r="B134" i="8"/>
  <c r="C109" i="8"/>
  <c r="D109" i="8" s="1"/>
  <c r="B86" i="8"/>
  <c r="B62" i="8"/>
  <c r="C62" i="8" s="1"/>
  <c r="D62" i="8" s="1"/>
  <c r="G92" i="1"/>
  <c r="D92" i="7" l="1"/>
  <c r="F64" i="1" s="1"/>
  <c r="E90" i="7"/>
  <c r="E86" i="7" s="1"/>
  <c r="AE157" i="8"/>
  <c r="AI157" i="8" s="1"/>
  <c r="AJ157" i="8" s="1"/>
  <c r="AK157" i="8" s="1"/>
  <c r="AL83" i="8"/>
  <c r="AJ83" i="8"/>
  <c r="AK83" i="8" s="1"/>
  <c r="AE84" i="8"/>
  <c r="AI84" i="8" s="1"/>
  <c r="AL84" i="8" s="1"/>
  <c r="AE108" i="8"/>
  <c r="AI108" i="8" s="1"/>
  <c r="AJ107" i="8"/>
  <c r="AK107" i="8" s="1"/>
  <c r="AL155" i="8"/>
  <c r="AE61" i="8"/>
  <c r="AI61" i="8" s="1"/>
  <c r="AL130" i="8"/>
  <c r="AJ130" i="8"/>
  <c r="AK130" i="8" s="1"/>
  <c r="AL60" i="8"/>
  <c r="AJ60" i="8"/>
  <c r="AK60" i="8" s="1"/>
  <c r="Q157" i="8"/>
  <c r="R157" i="8"/>
  <c r="R132" i="8"/>
  <c r="Q132" i="8"/>
  <c r="Q108" i="8"/>
  <c r="R108" i="8"/>
  <c r="R84" i="8"/>
  <c r="Q84" i="8"/>
  <c r="AG62" i="8"/>
  <c r="AH62" i="8" s="1"/>
  <c r="AC62" i="8"/>
  <c r="AD62" i="8"/>
  <c r="R61" i="8"/>
  <c r="Q61" i="8"/>
  <c r="AC109" i="8"/>
  <c r="AG109" i="8"/>
  <c r="AH109" i="8" s="1"/>
  <c r="AD109" i="8"/>
  <c r="AC133" i="8"/>
  <c r="AD133" i="8"/>
  <c r="AG133" i="8"/>
  <c r="AH133" i="8" s="1"/>
  <c r="AD158" i="8"/>
  <c r="AC158" i="8"/>
  <c r="AG158" i="8"/>
  <c r="AH158" i="8" s="1"/>
  <c r="AC85" i="8"/>
  <c r="AD85" i="8"/>
  <c r="AG85" i="8"/>
  <c r="AH85" i="8" s="1"/>
  <c r="AE132" i="8"/>
  <c r="AI132" i="8" s="1"/>
  <c r="C7" i="8"/>
  <c r="E55" i="7" s="1"/>
  <c r="E62" i="8"/>
  <c r="E109" i="8"/>
  <c r="E158" i="8"/>
  <c r="E133" i="8"/>
  <c r="E85" i="8"/>
  <c r="B111" i="8"/>
  <c r="C86" i="8"/>
  <c r="D86" i="8" s="1"/>
  <c r="B159" i="8"/>
  <c r="C159" i="8" s="1"/>
  <c r="D159" i="8" s="1"/>
  <c r="C134" i="8"/>
  <c r="D134" i="8" s="1"/>
  <c r="B135" i="8"/>
  <c r="C110" i="8"/>
  <c r="D110" i="8" s="1"/>
  <c r="B87" i="8"/>
  <c r="B63" i="8"/>
  <c r="C63" i="8" s="1"/>
  <c r="D63" i="8" s="1"/>
  <c r="C31" i="8"/>
  <c r="G93" i="1"/>
  <c r="E189" i="8" l="1"/>
  <c r="C189" i="8" s="1"/>
  <c r="G237" i="8" s="1"/>
  <c r="I237" i="8" s="1"/>
  <c r="K237" i="8" s="1"/>
  <c r="G90" i="1"/>
  <c r="H26" i="7"/>
  <c r="G286" i="8"/>
  <c r="I286" i="8" s="1"/>
  <c r="K286" i="8" s="1"/>
  <c r="G326" i="8"/>
  <c r="I326" i="8" s="1"/>
  <c r="K326" i="8" s="1"/>
  <c r="G317" i="8"/>
  <c r="I317" i="8" s="1"/>
  <c r="K317" i="8" s="1"/>
  <c r="G259" i="8"/>
  <c r="I259" i="8" s="1"/>
  <c r="K259" i="8" s="1"/>
  <c r="G232" i="8"/>
  <c r="I232" i="8" s="1"/>
  <c r="K232" i="8" s="1"/>
  <c r="G283" i="8"/>
  <c r="I283" i="8" s="1"/>
  <c r="K283" i="8" s="1"/>
  <c r="G323" i="8"/>
  <c r="I323" i="8" s="1"/>
  <c r="K323" i="8" s="1"/>
  <c r="G269" i="8"/>
  <c r="I269" i="8" s="1"/>
  <c r="K269" i="8" s="1"/>
  <c r="G322" i="8"/>
  <c r="I322" i="8" s="1"/>
  <c r="K322" i="8" s="1"/>
  <c r="G313" i="8"/>
  <c r="I313" i="8" s="1"/>
  <c r="K313" i="8" s="1"/>
  <c r="G279" i="8"/>
  <c r="I279" i="8" s="1"/>
  <c r="K279" i="8" s="1"/>
  <c r="G226" i="8"/>
  <c r="I226" i="8" s="1"/>
  <c r="K226" i="8" s="1"/>
  <c r="G289" i="8"/>
  <c r="I289" i="8" s="1"/>
  <c r="K289" i="8" s="1"/>
  <c r="G255" i="8"/>
  <c r="I255" i="8" s="1"/>
  <c r="K255" i="8" s="1"/>
  <c r="G295" i="8"/>
  <c r="I295" i="8" s="1"/>
  <c r="K295" i="8" s="1"/>
  <c r="G249" i="8"/>
  <c r="I249" i="8" s="1"/>
  <c r="K249" i="8" s="1"/>
  <c r="G258" i="8"/>
  <c r="I258" i="8" s="1"/>
  <c r="K258" i="8" s="1"/>
  <c r="G290" i="8"/>
  <c r="I290" i="8" s="1"/>
  <c r="K290" i="8" s="1"/>
  <c r="G220" i="8"/>
  <c r="I220" i="8" s="1"/>
  <c r="K220" i="8" s="1"/>
  <c r="G231" i="8"/>
  <c r="I231" i="8" s="1"/>
  <c r="K231" i="8" s="1"/>
  <c r="G234" i="8"/>
  <c r="I234" i="8" s="1"/>
  <c r="K234" i="8" s="1"/>
  <c r="G212" i="8"/>
  <c r="I212" i="8" s="1"/>
  <c r="K212" i="8" s="1"/>
  <c r="G214" i="8"/>
  <c r="I214" i="8" s="1"/>
  <c r="K214" i="8" s="1"/>
  <c r="G227" i="8"/>
  <c r="I227" i="8" s="1"/>
  <c r="K227" i="8" s="1"/>
  <c r="G224" i="8"/>
  <c r="I224" i="8" s="1"/>
  <c r="K224" i="8" s="1"/>
  <c r="G256" i="8"/>
  <c r="I256" i="8" s="1"/>
  <c r="K256" i="8" s="1"/>
  <c r="G207" i="8"/>
  <c r="I207" i="8" s="1"/>
  <c r="K207" i="8" s="1"/>
  <c r="G293" i="8"/>
  <c r="I293" i="8" s="1"/>
  <c r="K293" i="8" s="1"/>
  <c r="G316" i="8"/>
  <c r="I316" i="8" s="1"/>
  <c r="K316" i="8" s="1"/>
  <c r="G239" i="8"/>
  <c r="I239" i="8" s="1"/>
  <c r="K239" i="8" s="1"/>
  <c r="G297" i="8"/>
  <c r="I297" i="8" s="1"/>
  <c r="K297" i="8" s="1"/>
  <c r="G312" i="8"/>
  <c r="I312" i="8" s="1"/>
  <c r="K312" i="8" s="1"/>
  <c r="G235" i="8"/>
  <c r="I235" i="8" s="1"/>
  <c r="K235" i="8" s="1"/>
  <c r="G309" i="8"/>
  <c r="I309" i="8" s="1"/>
  <c r="K309" i="8" s="1"/>
  <c r="G308" i="8"/>
  <c r="I308" i="8" s="1"/>
  <c r="K308" i="8" s="1"/>
  <c r="G262" i="8"/>
  <c r="I262" i="8" s="1"/>
  <c r="K262" i="8" s="1"/>
  <c r="G202" i="8"/>
  <c r="I202" i="8" s="1"/>
  <c r="K202" i="8" s="1"/>
  <c r="G288" i="8"/>
  <c r="I288" i="8" s="1"/>
  <c r="K288" i="8" s="1"/>
  <c r="G294" i="8"/>
  <c r="I294" i="8" s="1"/>
  <c r="K294" i="8" s="1"/>
  <c r="G272" i="8"/>
  <c r="I272" i="8" s="1"/>
  <c r="K272" i="8" s="1"/>
  <c r="G236" i="8"/>
  <c r="I236" i="8" s="1"/>
  <c r="K236" i="8" s="1"/>
  <c r="G243" i="8"/>
  <c r="I243" i="8" s="1"/>
  <c r="K243" i="8" s="1"/>
  <c r="G277" i="8"/>
  <c r="I277" i="8" s="1"/>
  <c r="K277" i="8" s="1"/>
  <c r="G208" i="8"/>
  <c r="I208" i="8" s="1"/>
  <c r="K208" i="8" s="1"/>
  <c r="G210" i="8"/>
  <c r="I210" i="8" s="1"/>
  <c r="K210" i="8" s="1"/>
  <c r="G268" i="8"/>
  <c r="I268" i="8" s="1"/>
  <c r="K268" i="8" s="1"/>
  <c r="G204" i="8"/>
  <c r="I204" i="8" s="1"/>
  <c r="K204" i="8" s="1"/>
  <c r="G245" i="8"/>
  <c r="I245" i="8" s="1"/>
  <c r="K245" i="8" s="1"/>
  <c r="G319" i="8"/>
  <c r="I319" i="8" s="1"/>
  <c r="K319" i="8" s="1"/>
  <c r="G247" i="8"/>
  <c r="I247" i="8" s="1"/>
  <c r="K247" i="8" s="1"/>
  <c r="G320" i="8"/>
  <c r="I320" i="8" s="1"/>
  <c r="K320" i="8" s="1"/>
  <c r="G238" i="8"/>
  <c r="I238" i="8" s="1"/>
  <c r="K238" i="8" s="1"/>
  <c r="G213" i="8"/>
  <c r="I213" i="8" s="1"/>
  <c r="K213" i="8" s="1"/>
  <c r="G216" i="8"/>
  <c r="I216" i="8" s="1"/>
  <c r="K216" i="8" s="1"/>
  <c r="G203" i="8"/>
  <c r="I203" i="8" s="1"/>
  <c r="K203" i="8" s="1"/>
  <c r="G278" i="8"/>
  <c r="I278" i="8" s="1"/>
  <c r="K278" i="8" s="1"/>
  <c r="G271" i="8"/>
  <c r="I271" i="8" s="1"/>
  <c r="K271" i="8" s="1"/>
  <c r="G265" i="8"/>
  <c r="I265" i="8" s="1"/>
  <c r="K265" i="8" s="1"/>
  <c r="G325" i="8"/>
  <c r="I325" i="8" s="1"/>
  <c r="K325" i="8" s="1"/>
  <c r="G250" i="8"/>
  <c r="I250" i="8" s="1"/>
  <c r="K250" i="8" s="1"/>
  <c r="G307" i="8"/>
  <c r="I307" i="8" s="1"/>
  <c r="K307" i="8" s="1"/>
  <c r="G218" i="8"/>
  <c r="I218" i="8" s="1"/>
  <c r="K218" i="8" s="1"/>
  <c r="G318" i="8"/>
  <c r="I318" i="8" s="1"/>
  <c r="K318" i="8" s="1"/>
  <c r="G301" i="8"/>
  <c r="I301" i="8" s="1"/>
  <c r="K301" i="8" s="1"/>
  <c r="G284" i="8"/>
  <c r="I284" i="8" s="1"/>
  <c r="K284" i="8" s="1"/>
  <c r="G324" i="8"/>
  <c r="I324" i="8" s="1"/>
  <c r="K324" i="8" s="1"/>
  <c r="G266" i="8"/>
  <c r="I266" i="8" s="1"/>
  <c r="K266" i="8" s="1"/>
  <c r="G303" i="8"/>
  <c r="I303" i="8" s="1"/>
  <c r="K303" i="8" s="1"/>
  <c r="G280" i="8"/>
  <c r="I280" i="8" s="1"/>
  <c r="K280" i="8" s="1"/>
  <c r="G273" i="8"/>
  <c r="I273" i="8" s="1"/>
  <c r="K273" i="8" s="1"/>
  <c r="G260" i="8"/>
  <c r="I260" i="8" s="1"/>
  <c r="K260" i="8" s="1"/>
  <c r="G276" i="8"/>
  <c r="I276" i="8" s="1"/>
  <c r="K276" i="8" s="1"/>
  <c r="G240" i="8"/>
  <c r="I240" i="8" s="1"/>
  <c r="K240" i="8" s="1"/>
  <c r="G257" i="8"/>
  <c r="I257" i="8" s="1"/>
  <c r="K257" i="8" s="1"/>
  <c r="G225" i="8"/>
  <c r="I225" i="8" s="1"/>
  <c r="K225" i="8" s="1"/>
  <c r="G215" i="8"/>
  <c r="I215" i="8" s="1"/>
  <c r="K215" i="8" s="1"/>
  <c r="G274" i="8"/>
  <c r="I274" i="8" s="1"/>
  <c r="K274" i="8" s="1"/>
  <c r="G221" i="8"/>
  <c r="I221" i="8" s="1"/>
  <c r="K221" i="8" s="1"/>
  <c r="G200" i="8"/>
  <c r="I200" i="8" s="1"/>
  <c r="K200" i="8" s="1"/>
  <c r="G261" i="8"/>
  <c r="I261" i="8" s="1"/>
  <c r="K261" i="8" s="1"/>
  <c r="G306" i="8"/>
  <c r="I306" i="8" s="1"/>
  <c r="K306" i="8" s="1"/>
  <c r="G217" i="8"/>
  <c r="I217" i="8" s="1"/>
  <c r="K217" i="8" s="1"/>
  <c r="G291" i="8"/>
  <c r="I291" i="8" s="1"/>
  <c r="K291" i="8" s="1"/>
  <c r="G253" i="8"/>
  <c r="I253" i="8" s="1"/>
  <c r="K253" i="8" s="1"/>
  <c r="G209" i="8"/>
  <c r="I209" i="8" s="1"/>
  <c r="K209" i="8" s="1"/>
  <c r="G287" i="8"/>
  <c r="I287" i="8" s="1"/>
  <c r="K287" i="8" s="1"/>
  <c r="G244" i="8"/>
  <c r="I244" i="8" s="1"/>
  <c r="K244" i="8" s="1"/>
  <c r="G205" i="8"/>
  <c r="I205" i="8" s="1"/>
  <c r="K205" i="8" s="1"/>
  <c r="G275" i="8"/>
  <c r="I275" i="8" s="1"/>
  <c r="K275" i="8" s="1"/>
  <c r="G310" i="8"/>
  <c r="I310" i="8" s="1"/>
  <c r="K310" i="8" s="1"/>
  <c r="G305" i="8"/>
  <c r="I305" i="8" s="1"/>
  <c r="K305" i="8" s="1"/>
  <c r="G298" i="8"/>
  <c r="I298" i="8" s="1"/>
  <c r="K298" i="8" s="1"/>
  <c r="G285" i="8"/>
  <c r="I285" i="8" s="1"/>
  <c r="K285" i="8" s="1"/>
  <c r="G300" i="8"/>
  <c r="I300" i="8" s="1"/>
  <c r="K300" i="8" s="1"/>
  <c r="G254" i="8"/>
  <c r="I254" i="8" s="1"/>
  <c r="K254" i="8" s="1"/>
  <c r="G302" i="8"/>
  <c r="I302" i="8" s="1"/>
  <c r="K302" i="8" s="1"/>
  <c r="G281" i="8"/>
  <c r="I281" i="8" s="1"/>
  <c r="K281" i="8" s="1"/>
  <c r="G246" i="8"/>
  <c r="I246" i="8" s="1"/>
  <c r="K246" i="8" s="1"/>
  <c r="G222" i="8"/>
  <c r="I222" i="8" s="1"/>
  <c r="K222" i="8" s="1"/>
  <c r="G242" i="8"/>
  <c r="I242" i="8" s="1"/>
  <c r="K242" i="8" s="1"/>
  <c r="G211" i="8"/>
  <c r="I211" i="8" s="1"/>
  <c r="K211" i="8" s="1"/>
  <c r="G327" i="8"/>
  <c r="I327" i="8" s="1"/>
  <c r="K327" i="8" s="1"/>
  <c r="G233" i="8"/>
  <c r="I233" i="8" s="1"/>
  <c r="K233" i="8" s="1"/>
  <c r="G206" i="8"/>
  <c r="I206" i="8" s="1"/>
  <c r="K206" i="8" s="1"/>
  <c r="G229" i="8"/>
  <c r="I229" i="8" s="1"/>
  <c r="K229" i="8" s="1"/>
  <c r="G223" i="8"/>
  <c r="I223" i="8" s="1"/>
  <c r="K223" i="8" s="1"/>
  <c r="G219" i="8"/>
  <c r="I219" i="8" s="1"/>
  <c r="K219" i="8" s="1"/>
  <c r="G304" i="8"/>
  <c r="I304" i="8" s="1"/>
  <c r="K304" i="8" s="1"/>
  <c r="G314" i="8"/>
  <c r="I314" i="8" s="1"/>
  <c r="K314" i="8" s="1"/>
  <c r="G201" i="8"/>
  <c r="I201" i="8" s="1"/>
  <c r="K201" i="8" s="1"/>
  <c r="G296" i="8"/>
  <c r="I296" i="8" s="1"/>
  <c r="K296" i="8" s="1"/>
  <c r="G315" i="8"/>
  <c r="I315" i="8" s="1"/>
  <c r="K315" i="8" s="1"/>
  <c r="G282" i="8"/>
  <c r="I282" i="8" s="1"/>
  <c r="K282" i="8" s="1"/>
  <c r="G292" i="8"/>
  <c r="I292" i="8" s="1"/>
  <c r="K292" i="8" s="1"/>
  <c r="G311" i="8"/>
  <c r="I311" i="8" s="1"/>
  <c r="K311" i="8" s="1"/>
  <c r="G328" i="8"/>
  <c r="I328" i="8" s="1"/>
  <c r="K328" i="8" s="1"/>
  <c r="C7" i="7"/>
  <c r="AE158" i="8"/>
  <c r="AI158" i="8" s="1"/>
  <c r="AJ158" i="8" s="1"/>
  <c r="AK158" i="8" s="1"/>
  <c r="AL157" i="8"/>
  <c r="AE85" i="8"/>
  <c r="AI85" i="8" s="1"/>
  <c r="AJ84" i="8"/>
  <c r="AK84" i="8" s="1"/>
  <c r="AE62" i="8"/>
  <c r="AI62" i="8" s="1"/>
  <c r="AG159" i="8"/>
  <c r="AH159" i="8" s="1"/>
  <c r="AC159" i="8"/>
  <c r="AD159" i="8"/>
  <c r="AC86" i="8"/>
  <c r="AD86" i="8"/>
  <c r="AG86" i="8"/>
  <c r="AH86" i="8" s="1"/>
  <c r="R133" i="8"/>
  <c r="Q133" i="8"/>
  <c r="R109" i="8"/>
  <c r="Q109" i="8"/>
  <c r="AJ132" i="8"/>
  <c r="AK132" i="8" s="1"/>
  <c r="AL132" i="8"/>
  <c r="Q158" i="8"/>
  <c r="R158" i="8"/>
  <c r="AE133" i="8"/>
  <c r="AI133" i="8" s="1"/>
  <c r="AD110" i="8"/>
  <c r="AG110" i="8"/>
  <c r="AH110" i="8" s="1"/>
  <c r="AC110" i="8"/>
  <c r="AE109" i="8"/>
  <c r="AI109" i="8" s="1"/>
  <c r="AC134" i="8"/>
  <c r="AG134" i="8"/>
  <c r="AH134" i="8" s="1"/>
  <c r="AD134" i="8"/>
  <c r="AL61" i="8"/>
  <c r="AJ61" i="8"/>
  <c r="AK61" i="8" s="1"/>
  <c r="Q85" i="8"/>
  <c r="R85" i="8"/>
  <c r="R62" i="8"/>
  <c r="Q62" i="8"/>
  <c r="AG63" i="8"/>
  <c r="AH63" i="8" s="1"/>
  <c r="AC63" i="8"/>
  <c r="AD63" i="8"/>
  <c r="AL108" i="8"/>
  <c r="AJ108" i="8"/>
  <c r="AK108" i="8" s="1"/>
  <c r="C32" i="8"/>
  <c r="C35" i="8" s="1"/>
  <c r="E159" i="8"/>
  <c r="E63" i="8"/>
  <c r="E134" i="8"/>
  <c r="E86" i="8"/>
  <c r="E110" i="8"/>
  <c r="B112" i="8"/>
  <c r="C87" i="8"/>
  <c r="D87" i="8" s="1"/>
  <c r="B160" i="8"/>
  <c r="C160" i="8" s="1"/>
  <c r="D160" i="8" s="1"/>
  <c r="C135" i="8"/>
  <c r="D135" i="8" s="1"/>
  <c r="B136" i="8"/>
  <c r="C111" i="8"/>
  <c r="D111" i="8" s="1"/>
  <c r="B88" i="8"/>
  <c r="B64" i="8"/>
  <c r="C64" i="8" s="1"/>
  <c r="D64" i="8" s="1"/>
  <c r="G267" i="8" l="1"/>
  <c r="I267" i="8" s="1"/>
  <c r="K267" i="8" s="1"/>
  <c r="G230" i="8"/>
  <c r="I230" i="8" s="1"/>
  <c r="K230" i="8" s="1"/>
  <c r="T230" i="8" s="1"/>
  <c r="G252" i="8"/>
  <c r="I252" i="8" s="1"/>
  <c r="K252" i="8" s="1"/>
  <c r="G299" i="8"/>
  <c r="I299" i="8" s="1"/>
  <c r="K299" i="8" s="1"/>
  <c r="G251" i="8"/>
  <c r="I251" i="8" s="1"/>
  <c r="K251" i="8" s="1"/>
  <c r="G270" i="8"/>
  <c r="I270" i="8" s="1"/>
  <c r="K270" i="8" s="1"/>
  <c r="G241" i="8"/>
  <c r="I241" i="8" s="1"/>
  <c r="K241" i="8" s="1"/>
  <c r="G263" i="8"/>
  <c r="I263" i="8" s="1"/>
  <c r="K263" i="8" s="1"/>
  <c r="T263" i="8" s="1"/>
  <c r="G321" i="8"/>
  <c r="I321" i="8" s="1"/>
  <c r="K321" i="8" s="1"/>
  <c r="G264" i="8"/>
  <c r="I264" i="8" s="1"/>
  <c r="K264" i="8" s="1"/>
  <c r="S264" i="8" s="1"/>
  <c r="G248" i="8"/>
  <c r="I248" i="8" s="1"/>
  <c r="K248" i="8" s="1"/>
  <c r="G198" i="8"/>
  <c r="I198" i="8" s="1"/>
  <c r="K198" i="8" s="1"/>
  <c r="T198" i="8" s="1"/>
  <c r="G228" i="8"/>
  <c r="I228" i="8" s="1"/>
  <c r="K228" i="8" s="1"/>
  <c r="T228" i="8" s="1"/>
  <c r="H22" i="7"/>
  <c r="H24" i="7"/>
  <c r="H21" i="7"/>
  <c r="S223" i="8"/>
  <c r="T223" i="8"/>
  <c r="S324" i="8"/>
  <c r="T324" i="8"/>
  <c r="S209" i="8"/>
  <c r="T209" i="8"/>
  <c r="T210" i="8"/>
  <c r="S210" i="8"/>
  <c r="T237" i="8"/>
  <c r="S237" i="8"/>
  <c r="S206" i="8"/>
  <c r="T206" i="8"/>
  <c r="T301" i="8"/>
  <c r="S301" i="8"/>
  <c r="S313" i="8"/>
  <c r="T313" i="8"/>
  <c r="T291" i="8"/>
  <c r="S291" i="8"/>
  <c r="T277" i="8"/>
  <c r="S277" i="8"/>
  <c r="S322" i="8"/>
  <c r="T322" i="8"/>
  <c r="S327" i="8"/>
  <c r="T327" i="8"/>
  <c r="T218" i="8"/>
  <c r="S218" i="8"/>
  <c r="S212" i="8"/>
  <c r="T212" i="8"/>
  <c r="S306" i="8"/>
  <c r="T306" i="8"/>
  <c r="S236" i="8"/>
  <c r="T236" i="8"/>
  <c r="T234" i="8"/>
  <c r="S234" i="8"/>
  <c r="S242" i="8"/>
  <c r="T242" i="8"/>
  <c r="T250" i="8"/>
  <c r="S250" i="8"/>
  <c r="T283" i="8"/>
  <c r="S283" i="8"/>
  <c r="T200" i="8"/>
  <c r="S200" i="8"/>
  <c r="S220" i="8"/>
  <c r="T220" i="8"/>
  <c r="S221" i="8"/>
  <c r="T221" i="8"/>
  <c r="T288" i="8"/>
  <c r="S288" i="8"/>
  <c r="T267" i="8"/>
  <c r="S267" i="8"/>
  <c r="S281" i="8"/>
  <c r="T281" i="8"/>
  <c r="T271" i="8"/>
  <c r="S271" i="8"/>
  <c r="T328" i="8"/>
  <c r="S328" i="8"/>
  <c r="S215" i="8"/>
  <c r="T215" i="8"/>
  <c r="S262" i="8"/>
  <c r="T262" i="8"/>
  <c r="S326" i="8"/>
  <c r="T326" i="8"/>
  <c r="S254" i="8"/>
  <c r="T254" i="8"/>
  <c r="T203" i="8"/>
  <c r="S203" i="8"/>
  <c r="S258" i="8"/>
  <c r="T258" i="8"/>
  <c r="T292" i="8"/>
  <c r="S292" i="8"/>
  <c r="T257" i="8"/>
  <c r="S257" i="8"/>
  <c r="S309" i="8"/>
  <c r="T309" i="8"/>
  <c r="T282" i="8"/>
  <c r="S282" i="8"/>
  <c r="S240" i="8"/>
  <c r="T240" i="8"/>
  <c r="T235" i="8"/>
  <c r="S235" i="8"/>
  <c r="S299" i="8"/>
  <c r="T299" i="8"/>
  <c r="S298" i="8"/>
  <c r="T298" i="8"/>
  <c r="T238" i="8"/>
  <c r="S238" i="8"/>
  <c r="T312" i="8"/>
  <c r="S312" i="8"/>
  <c r="S249" i="8"/>
  <c r="T249" i="8"/>
  <c r="S241" i="8"/>
  <c r="T241" i="8"/>
  <c r="S296" i="8"/>
  <c r="T296" i="8"/>
  <c r="S305" i="8"/>
  <c r="T305" i="8"/>
  <c r="T260" i="8"/>
  <c r="S260" i="8"/>
  <c r="S320" i="8"/>
  <c r="T320" i="8"/>
  <c r="T297" i="8"/>
  <c r="S297" i="8"/>
  <c r="T295" i="8"/>
  <c r="S295" i="8"/>
  <c r="T201" i="8"/>
  <c r="S201" i="8"/>
  <c r="S310" i="8"/>
  <c r="T310" i="8"/>
  <c r="T273" i="8"/>
  <c r="S273" i="8"/>
  <c r="T247" i="8"/>
  <c r="S247" i="8"/>
  <c r="S239" i="8"/>
  <c r="T239" i="8"/>
  <c r="T255" i="8"/>
  <c r="S255" i="8"/>
  <c r="S321" i="8"/>
  <c r="T321" i="8"/>
  <c r="T287" i="8"/>
  <c r="S287" i="8"/>
  <c r="S268" i="8"/>
  <c r="T268" i="8"/>
  <c r="S256" i="8"/>
  <c r="T256" i="8"/>
  <c r="T229" i="8"/>
  <c r="S229" i="8"/>
  <c r="S284" i="8"/>
  <c r="T284" i="8"/>
  <c r="S224" i="8"/>
  <c r="T224" i="8"/>
  <c r="S253" i="8"/>
  <c r="T253" i="8"/>
  <c r="S208" i="8"/>
  <c r="T208" i="8"/>
  <c r="S227" i="8"/>
  <c r="T227" i="8"/>
  <c r="T233" i="8"/>
  <c r="S233" i="8"/>
  <c r="T318" i="8"/>
  <c r="S318" i="8"/>
  <c r="T214" i="8"/>
  <c r="S214" i="8"/>
  <c r="S217" i="8"/>
  <c r="T217" i="8"/>
  <c r="T243" i="8"/>
  <c r="S243" i="8"/>
  <c r="S269" i="8"/>
  <c r="T269" i="8"/>
  <c r="T211" i="8"/>
  <c r="S211" i="8"/>
  <c r="S307" i="8"/>
  <c r="T307" i="8"/>
  <c r="S323" i="8"/>
  <c r="T323" i="8"/>
  <c r="S261" i="8"/>
  <c r="T261" i="8"/>
  <c r="S272" i="8"/>
  <c r="T272" i="8"/>
  <c r="S231" i="8"/>
  <c r="T231" i="8"/>
  <c r="S222" i="8"/>
  <c r="T222" i="8"/>
  <c r="T325" i="8"/>
  <c r="S325" i="8"/>
  <c r="T294" i="8"/>
  <c r="S294" i="8"/>
  <c r="T232" i="8"/>
  <c r="S232" i="8"/>
  <c r="T246" i="8"/>
  <c r="S246" i="8"/>
  <c r="T265" i="8"/>
  <c r="S265" i="8"/>
  <c r="T259" i="8"/>
  <c r="S259" i="8"/>
  <c r="S274" i="8"/>
  <c r="T274" i="8"/>
  <c r="T202" i="8"/>
  <c r="S202" i="8"/>
  <c r="S317" i="8"/>
  <c r="T317" i="8"/>
  <c r="S302" i="8"/>
  <c r="T302" i="8"/>
  <c r="S278" i="8"/>
  <c r="T278" i="8"/>
  <c r="S290" i="8"/>
  <c r="T290" i="8"/>
  <c r="S311" i="8"/>
  <c r="T311" i="8"/>
  <c r="T225" i="8"/>
  <c r="S225" i="8"/>
  <c r="S308" i="8"/>
  <c r="T308" i="8"/>
  <c r="S286" i="8"/>
  <c r="T286" i="8"/>
  <c r="T300" i="8"/>
  <c r="S300" i="8"/>
  <c r="S216" i="8"/>
  <c r="T216" i="8"/>
  <c r="T251" i="8"/>
  <c r="S251" i="8"/>
  <c r="S252" i="8"/>
  <c r="T252" i="8"/>
  <c r="T285" i="8"/>
  <c r="S285" i="8"/>
  <c r="S213" i="8"/>
  <c r="T213" i="8"/>
  <c r="T270" i="8"/>
  <c r="S270" i="8"/>
  <c r="S315" i="8"/>
  <c r="T315" i="8"/>
  <c r="S276" i="8"/>
  <c r="T276" i="8"/>
  <c r="T314" i="8"/>
  <c r="S314" i="8"/>
  <c r="T275" i="8"/>
  <c r="S275" i="8"/>
  <c r="S280" i="8"/>
  <c r="T280" i="8"/>
  <c r="S319" i="8"/>
  <c r="T319" i="8"/>
  <c r="S316" i="8"/>
  <c r="T316" i="8"/>
  <c r="T289" i="8"/>
  <c r="S289" i="8"/>
  <c r="S304" i="8"/>
  <c r="T304" i="8"/>
  <c r="T205" i="8"/>
  <c r="S205" i="8"/>
  <c r="T303" i="8"/>
  <c r="S303" i="8"/>
  <c r="T245" i="8"/>
  <c r="S245" i="8"/>
  <c r="S293" i="8"/>
  <c r="T293" i="8"/>
  <c r="S226" i="8"/>
  <c r="T226" i="8"/>
  <c r="T248" i="8"/>
  <c r="S248" i="8"/>
  <c r="S219" i="8"/>
  <c r="T219" i="8"/>
  <c r="T244" i="8"/>
  <c r="S244" i="8"/>
  <c r="T266" i="8"/>
  <c r="S266" i="8"/>
  <c r="S204" i="8"/>
  <c r="T204" i="8"/>
  <c r="S207" i="8"/>
  <c r="T207" i="8"/>
  <c r="T279" i="8"/>
  <c r="S279" i="8"/>
  <c r="AE63" i="8"/>
  <c r="AI63" i="8" s="1"/>
  <c r="AJ63" i="8" s="1"/>
  <c r="AK63" i="8" s="1"/>
  <c r="AL158" i="8"/>
  <c r="AL85" i="8"/>
  <c r="AJ85" i="8"/>
  <c r="AK85" i="8" s="1"/>
  <c r="AE110" i="8"/>
  <c r="AI110" i="8" s="1"/>
  <c r="AJ110" i="8" s="1"/>
  <c r="AK110" i="8" s="1"/>
  <c r="AE159" i="8"/>
  <c r="AI159" i="8" s="1"/>
  <c r="AJ159" i="8" s="1"/>
  <c r="AK159" i="8" s="1"/>
  <c r="AG64" i="8"/>
  <c r="AH64" i="8" s="1"/>
  <c r="AC64" i="8"/>
  <c r="AD64" i="8"/>
  <c r="AD111" i="8"/>
  <c r="AG111" i="8"/>
  <c r="AH111" i="8" s="1"/>
  <c r="AC111" i="8"/>
  <c r="AJ133" i="8"/>
  <c r="AK133" i="8" s="1"/>
  <c r="AL133" i="8"/>
  <c r="AG135" i="8"/>
  <c r="AH135" i="8" s="1"/>
  <c r="AD135" i="8"/>
  <c r="AC135" i="8"/>
  <c r="AG87" i="8"/>
  <c r="AH87" i="8" s="1"/>
  <c r="AD87" i="8"/>
  <c r="AC87" i="8"/>
  <c r="Q86" i="8"/>
  <c r="R86" i="8"/>
  <c r="Q134" i="8"/>
  <c r="R134" i="8"/>
  <c r="Q63" i="8"/>
  <c r="R63" i="8"/>
  <c r="AE134" i="8"/>
  <c r="AI134" i="8" s="1"/>
  <c r="AE86" i="8"/>
  <c r="AI86" i="8" s="1"/>
  <c r="AD160" i="8"/>
  <c r="AC160" i="8"/>
  <c r="AG160" i="8"/>
  <c r="AH160" i="8" s="1"/>
  <c r="R110" i="8"/>
  <c r="Q110" i="8"/>
  <c r="Q159" i="8"/>
  <c r="R159" i="8"/>
  <c r="AJ109" i="8"/>
  <c r="AK109" i="8" s="1"/>
  <c r="AL109" i="8"/>
  <c r="AL62" i="8"/>
  <c r="AJ62" i="8"/>
  <c r="AK62" i="8" s="1"/>
  <c r="Z14" i="8"/>
  <c r="E87" i="8"/>
  <c r="E135" i="8"/>
  <c r="E160" i="8"/>
  <c r="E64" i="8"/>
  <c r="E111" i="8"/>
  <c r="B113" i="8"/>
  <c r="C88" i="8"/>
  <c r="D88" i="8" s="1"/>
  <c r="B161" i="8"/>
  <c r="C161" i="8" s="1"/>
  <c r="D161" i="8" s="1"/>
  <c r="C136" i="8"/>
  <c r="D136" i="8" s="1"/>
  <c r="B137" i="8"/>
  <c r="C112" i="8"/>
  <c r="D112" i="8" s="1"/>
  <c r="C8" i="8"/>
  <c r="B89" i="8"/>
  <c r="B65" i="8"/>
  <c r="C65" i="8" s="1"/>
  <c r="D65" i="8" s="1"/>
  <c r="S230" i="8" l="1"/>
  <c r="S228" i="8"/>
  <c r="S198" i="8"/>
  <c r="U198" i="8" s="1"/>
  <c r="S263" i="8"/>
  <c r="U263" i="8" s="1"/>
  <c r="T264" i="8"/>
  <c r="U264" i="8" s="1"/>
  <c r="U207" i="8"/>
  <c r="Y207" i="8" s="1"/>
  <c r="U244" i="8"/>
  <c r="Y244" i="8" s="1"/>
  <c r="U289" i="8"/>
  <c r="U203" i="8"/>
  <c r="Y203" i="8" s="1"/>
  <c r="U260" i="8"/>
  <c r="Z260" i="8" s="1"/>
  <c r="AA260" i="8" s="1"/>
  <c r="U283" i="8"/>
  <c r="Z283" i="8" s="1"/>
  <c r="AA283" i="8" s="1"/>
  <c r="U314" i="8"/>
  <c r="Y314" i="8" s="1"/>
  <c r="U286" i="8"/>
  <c r="Y286" i="8" s="1"/>
  <c r="U208" i="8"/>
  <c r="Y208" i="8" s="1"/>
  <c r="U239" i="8"/>
  <c r="Z239" i="8" s="1"/>
  <c r="AA239" i="8" s="1"/>
  <c r="U282" i="8"/>
  <c r="Z282" i="8" s="1"/>
  <c r="AA282" i="8" s="1"/>
  <c r="U328" i="8"/>
  <c r="Z328" i="8" s="1"/>
  <c r="AA328" i="8" s="1"/>
  <c r="U277" i="8"/>
  <c r="Y277" i="8" s="1"/>
  <c r="U205" i="8"/>
  <c r="Z205" i="8" s="1"/>
  <c r="AA205" i="8" s="1"/>
  <c r="U210" i="8"/>
  <c r="Z210" i="8" s="1"/>
  <c r="AA210" i="8" s="1"/>
  <c r="U303" i="8"/>
  <c r="Z303" i="8" s="1"/>
  <c r="AA303" i="8" s="1"/>
  <c r="U290" i="8"/>
  <c r="Y290" i="8" s="1"/>
  <c r="U294" i="8"/>
  <c r="Z294" i="8" s="1"/>
  <c r="AA294" i="8" s="1"/>
  <c r="U243" i="8"/>
  <c r="Z243" i="8" s="1"/>
  <c r="AA243" i="8" s="1"/>
  <c r="U229" i="8"/>
  <c r="Z229" i="8" s="1"/>
  <c r="AA229" i="8" s="1"/>
  <c r="U201" i="8"/>
  <c r="Y201" i="8" s="1"/>
  <c r="U312" i="8"/>
  <c r="Z312" i="8" s="1"/>
  <c r="AA312" i="8" s="1"/>
  <c r="U267" i="8"/>
  <c r="Y267" i="8" s="1"/>
  <c r="U306" i="8"/>
  <c r="Z306" i="8" s="1"/>
  <c r="AA306" i="8" s="1"/>
  <c r="U237" i="8"/>
  <c r="Y237" i="8" s="1"/>
  <c r="U323" i="8"/>
  <c r="Z323" i="8" s="1"/>
  <c r="AA323" i="8" s="1"/>
  <c r="U238" i="8"/>
  <c r="Y238" i="8" s="1"/>
  <c r="U226" i="8"/>
  <c r="Z226" i="8" s="1"/>
  <c r="AA226" i="8" s="1"/>
  <c r="U280" i="8"/>
  <c r="Z280" i="8" s="1"/>
  <c r="AA280" i="8" s="1"/>
  <c r="U200" i="8"/>
  <c r="Z200" i="8" s="1"/>
  <c r="U322" i="8"/>
  <c r="Z322" i="8" s="1"/>
  <c r="AA322" i="8" s="1"/>
  <c r="U278" i="8"/>
  <c r="Z278" i="8" s="1"/>
  <c r="AA278" i="8" s="1"/>
  <c r="U215" i="8"/>
  <c r="Z215" i="8" s="1"/>
  <c r="AA215" i="8" s="1"/>
  <c r="U251" i="8"/>
  <c r="Y251" i="8" s="1"/>
  <c r="U297" i="8"/>
  <c r="Z297" i="8" s="1"/>
  <c r="AA297" i="8" s="1"/>
  <c r="U265" i="8"/>
  <c r="Y265" i="8" s="1"/>
  <c r="U253" i="8"/>
  <c r="Y253" i="8" s="1"/>
  <c r="U309" i="8"/>
  <c r="Z309" i="8" s="1"/>
  <c r="AA309" i="8" s="1"/>
  <c r="U252" i="8"/>
  <c r="Y252" i="8" s="1"/>
  <c r="U302" i="8"/>
  <c r="Y302" i="8" s="1"/>
  <c r="U268" i="8"/>
  <c r="Y268" i="8" s="1"/>
  <c r="U326" i="8"/>
  <c r="Y326" i="8" s="1"/>
  <c r="U324" i="8"/>
  <c r="Y324" i="8" s="1"/>
  <c r="U304" i="8"/>
  <c r="Z304" i="8" s="1"/>
  <c r="AA304" i="8" s="1"/>
  <c r="U271" i="8"/>
  <c r="Y271" i="8" s="1"/>
  <c r="U315" i="8"/>
  <c r="Y315" i="8" s="1"/>
  <c r="U246" i="8"/>
  <c r="Y246" i="8" s="1"/>
  <c r="U211" i="8"/>
  <c r="Z211" i="8" s="1"/>
  <c r="AA211" i="8" s="1"/>
  <c r="U273" i="8"/>
  <c r="Y273" i="8" s="1"/>
  <c r="U301" i="8"/>
  <c r="Z301" i="8" s="1"/>
  <c r="AA301" i="8" s="1"/>
  <c r="U270" i="8"/>
  <c r="Z270" i="8" s="1"/>
  <c r="AA270" i="8" s="1"/>
  <c r="U311" i="8"/>
  <c r="Z311" i="8" s="1"/>
  <c r="AA311" i="8" s="1"/>
  <c r="U232" i="8"/>
  <c r="Y232" i="8" s="1"/>
  <c r="U269" i="8"/>
  <c r="Y269" i="8" s="1"/>
  <c r="U284" i="8"/>
  <c r="Z284" i="8" s="1"/>
  <c r="AA284" i="8" s="1"/>
  <c r="U310" i="8"/>
  <c r="Y310" i="8" s="1"/>
  <c r="U281" i="8"/>
  <c r="Y281" i="8" s="1"/>
  <c r="U206" i="8"/>
  <c r="Y206" i="8" s="1"/>
  <c r="U293" i="8"/>
  <c r="Z293" i="8" s="1"/>
  <c r="AA293" i="8" s="1"/>
  <c r="U275" i="8"/>
  <c r="Z275" i="8" s="1"/>
  <c r="AA275" i="8" s="1"/>
  <c r="U261" i="8"/>
  <c r="Z261" i="8" s="1"/>
  <c r="AA261" i="8" s="1"/>
  <c r="U227" i="8"/>
  <c r="Y227" i="8" s="1"/>
  <c r="U245" i="8"/>
  <c r="U305" i="8"/>
  <c r="U291" i="8"/>
  <c r="U308" i="8"/>
  <c r="U296" i="8"/>
  <c r="U242" i="8"/>
  <c r="U241" i="8"/>
  <c r="U257" i="8"/>
  <c r="U234" i="8"/>
  <c r="U204" i="8"/>
  <c r="U249" i="8"/>
  <c r="Y289" i="8"/>
  <c r="Z289" i="8"/>
  <c r="AA289" i="8" s="1"/>
  <c r="U325" i="8"/>
  <c r="U256" i="8"/>
  <c r="U288" i="8"/>
  <c r="U316" i="8"/>
  <c r="U222" i="8"/>
  <c r="U295" i="8"/>
  <c r="U254" i="8"/>
  <c r="U209" i="8"/>
  <c r="U248" i="8"/>
  <c r="U319" i="8"/>
  <c r="U317" i="8"/>
  <c r="U231" i="8"/>
  <c r="U318" i="8"/>
  <c r="U287" i="8"/>
  <c r="U299" i="8"/>
  <c r="U220" i="8"/>
  <c r="U327" i="8"/>
  <c r="U228" i="8"/>
  <c r="U216" i="8"/>
  <c r="U202" i="8"/>
  <c r="U272" i="8"/>
  <c r="U233" i="8"/>
  <c r="U321" i="8"/>
  <c r="U320" i="8"/>
  <c r="U235" i="8"/>
  <c r="U262" i="8"/>
  <c r="U259" i="8"/>
  <c r="U250" i="8"/>
  <c r="U279" i="8"/>
  <c r="U276" i="8"/>
  <c r="U307" i="8"/>
  <c r="U247" i="8"/>
  <c r="U230" i="8"/>
  <c r="U313" i="8"/>
  <c r="U225" i="8"/>
  <c r="U224" i="8"/>
  <c r="U292" i="8"/>
  <c r="U236" i="8"/>
  <c r="U266" i="8"/>
  <c r="U213" i="8"/>
  <c r="U258" i="8"/>
  <c r="U285" i="8"/>
  <c r="U217" i="8"/>
  <c r="U212" i="8"/>
  <c r="U219" i="8"/>
  <c r="U214" i="8"/>
  <c r="U298" i="8"/>
  <c r="U221" i="8"/>
  <c r="U218" i="8"/>
  <c r="U300" i="8"/>
  <c r="U274" i="8"/>
  <c r="U255" i="8"/>
  <c r="U240" i="8"/>
  <c r="U223" i="8"/>
  <c r="C5" i="7"/>
  <c r="AE64" i="8"/>
  <c r="AI64" i="8" s="1"/>
  <c r="AL63" i="8"/>
  <c r="AE135" i="8"/>
  <c r="AI135" i="8" s="1"/>
  <c r="AL159" i="8"/>
  <c r="AL110" i="8"/>
  <c r="AE87" i="8"/>
  <c r="AI87" i="8" s="1"/>
  <c r="AE111" i="8"/>
  <c r="AI111" i="8" s="1"/>
  <c r="AJ111" i="8" s="1"/>
  <c r="AK111" i="8" s="1"/>
  <c r="AE160" i="8"/>
  <c r="AI160" i="8" s="1"/>
  <c r="AL160" i="8" s="1"/>
  <c r="AL134" i="8"/>
  <c r="AJ134" i="8"/>
  <c r="AK134" i="8" s="1"/>
  <c r="AG136" i="8"/>
  <c r="AH136" i="8" s="1"/>
  <c r="AD136" i="8"/>
  <c r="AC136" i="8"/>
  <c r="R64" i="8"/>
  <c r="Q64" i="8"/>
  <c r="Q111" i="8"/>
  <c r="R111" i="8"/>
  <c r="AD112" i="8"/>
  <c r="AC112" i="8"/>
  <c r="AG112" i="8"/>
  <c r="AH112" i="8" s="1"/>
  <c r="Q135" i="8"/>
  <c r="R135" i="8"/>
  <c r="AD161" i="8"/>
  <c r="AG161" i="8"/>
  <c r="AH161" i="8" s="1"/>
  <c r="AC161" i="8"/>
  <c r="R160" i="8"/>
  <c r="Q160" i="8"/>
  <c r="AJ86" i="8"/>
  <c r="AK86" i="8" s="1"/>
  <c r="AL86" i="8"/>
  <c r="AD88" i="8"/>
  <c r="AC88" i="8"/>
  <c r="AG88" i="8"/>
  <c r="AH88" i="8" s="1"/>
  <c r="Q87" i="8"/>
  <c r="R87" i="8"/>
  <c r="AG65" i="8"/>
  <c r="AH65" i="8" s="1"/>
  <c r="AD65" i="8"/>
  <c r="AC65" i="8"/>
  <c r="Z13" i="8"/>
  <c r="U14" i="8" s="1"/>
  <c r="X14" i="8" s="1"/>
  <c r="E161" i="8"/>
  <c r="E88" i="8"/>
  <c r="E112" i="8"/>
  <c r="E136" i="8"/>
  <c r="E65" i="8"/>
  <c r="B162" i="8"/>
  <c r="C162" i="8" s="1"/>
  <c r="D162" i="8" s="1"/>
  <c r="C137" i="8"/>
  <c r="D137" i="8" s="1"/>
  <c r="B138" i="8"/>
  <c r="C113" i="8"/>
  <c r="D113" i="8" s="1"/>
  <c r="B114" i="8"/>
  <c r="C89" i="8"/>
  <c r="D89" i="8" s="1"/>
  <c r="B90" i="8"/>
  <c r="B66" i="8"/>
  <c r="C66" i="8" s="1"/>
  <c r="D66" i="8" s="1"/>
  <c r="Y260" i="8" l="1"/>
  <c r="AC260" i="8" s="1"/>
  <c r="Z244" i="8"/>
  <c r="AA244" i="8" s="1"/>
  <c r="Z207" i="8"/>
  <c r="AA207" i="8" s="1"/>
  <c r="Z203" i="8"/>
  <c r="AA203" i="8" s="1"/>
  <c r="Y282" i="8"/>
  <c r="Z314" i="8"/>
  <c r="AA314" i="8" s="1"/>
  <c r="Y210" i="8"/>
  <c r="AC210" i="8" s="1"/>
  <c r="Y239" i="8"/>
  <c r="AC239" i="8" s="1"/>
  <c r="Y283" i="8"/>
  <c r="AC283" i="8" s="1"/>
  <c r="Y294" i="8"/>
  <c r="AD294" i="8" s="1"/>
  <c r="AE294" i="8" s="1"/>
  <c r="AF294" i="8" s="1"/>
  <c r="Z290" i="8"/>
  <c r="AA290" i="8" s="1"/>
  <c r="Y280" i="8"/>
  <c r="AC280" i="8" s="1"/>
  <c r="Y226" i="8"/>
  <c r="AC226" i="8" s="1"/>
  <c r="Z286" i="8"/>
  <c r="AA286" i="8" s="1"/>
  <c r="Z281" i="8"/>
  <c r="AA281" i="8" s="1"/>
  <c r="Z277" i="8"/>
  <c r="AA277" i="8" s="1"/>
  <c r="Y205" i="8"/>
  <c r="AC205" i="8" s="1"/>
  <c r="Z268" i="8"/>
  <c r="AA268" i="8" s="1"/>
  <c r="Z208" i="8"/>
  <c r="AA208" i="8" s="1"/>
  <c r="Z267" i="8"/>
  <c r="AA267" i="8" s="1"/>
  <c r="Z201" i="8"/>
  <c r="AA201" i="8" s="1"/>
  <c r="Y312" i="8"/>
  <c r="AC312" i="8" s="1"/>
  <c r="Y229" i="8"/>
  <c r="AD229" i="8" s="1"/>
  <c r="AE229" i="8" s="1"/>
  <c r="AF229" i="8" s="1"/>
  <c r="Y303" i="8"/>
  <c r="AC303" i="8" s="1"/>
  <c r="Y243" i="8"/>
  <c r="AC243" i="8" s="1"/>
  <c r="Y328" i="8"/>
  <c r="AC328" i="8" s="1"/>
  <c r="Y200" i="8"/>
  <c r="AC200" i="8" s="1"/>
  <c r="Y278" i="8"/>
  <c r="AD278" i="8" s="1"/>
  <c r="AE278" i="8" s="1"/>
  <c r="AF278" i="8" s="1"/>
  <c r="Z238" i="8"/>
  <c r="AA238" i="8" s="1"/>
  <c r="Y322" i="8"/>
  <c r="AD322" i="8" s="1"/>
  <c r="AE322" i="8" s="1"/>
  <c r="AF322" i="8" s="1"/>
  <c r="Y297" i="8"/>
  <c r="AC297" i="8" s="1"/>
  <c r="Z237" i="8"/>
  <c r="AA237" i="8" s="1"/>
  <c r="Y211" i="8"/>
  <c r="AC211" i="8" s="1"/>
  <c r="Z326" i="8"/>
  <c r="AA326" i="8" s="1"/>
  <c r="Y306" i="8"/>
  <c r="AD306" i="8" s="1"/>
  <c r="AE306" i="8" s="1"/>
  <c r="AF306" i="8" s="1"/>
  <c r="Y323" i="8"/>
  <c r="AD323" i="8" s="1"/>
  <c r="AE323" i="8" s="1"/>
  <c r="AF323" i="8" s="1"/>
  <c r="Y215" i="8"/>
  <c r="AC215" i="8" s="1"/>
  <c r="Z251" i="8"/>
  <c r="AA251" i="8" s="1"/>
  <c r="Z206" i="8"/>
  <c r="AA206" i="8" s="1"/>
  <c r="Y309" i="8"/>
  <c r="AC309" i="8" s="1"/>
  <c r="Y284" i="8"/>
  <c r="AC284" i="8" s="1"/>
  <c r="Y270" i="8"/>
  <c r="AC270" i="8" s="1"/>
  <c r="Z324" i="8"/>
  <c r="AA324" i="8" s="1"/>
  <c r="Z227" i="8"/>
  <c r="AA227" i="8" s="1"/>
  <c r="Z265" i="8"/>
  <c r="AA265" i="8" s="1"/>
  <c r="Z271" i="8"/>
  <c r="AA271" i="8" s="1"/>
  <c r="Z315" i="8"/>
  <c r="AA315" i="8" s="1"/>
  <c r="Z252" i="8"/>
  <c r="AA252" i="8" s="1"/>
  <c r="Z253" i="8"/>
  <c r="AA253" i="8" s="1"/>
  <c r="Y304" i="8"/>
  <c r="AC304" i="8" s="1"/>
  <c r="Z302" i="8"/>
  <c r="AA302" i="8" s="1"/>
  <c r="Z232" i="8"/>
  <c r="AA232" i="8" s="1"/>
  <c r="Z246" i="8"/>
  <c r="AA246" i="8" s="1"/>
  <c r="Z269" i="8"/>
  <c r="AA269" i="8" s="1"/>
  <c r="Y311" i="8"/>
  <c r="AC311" i="8" s="1"/>
  <c r="Y261" i="8"/>
  <c r="AC261" i="8" s="1"/>
  <c r="Y301" i="8"/>
  <c r="AC301" i="8" s="1"/>
  <c r="Y275" i="8"/>
  <c r="AC275" i="8" s="1"/>
  <c r="Z310" i="8"/>
  <c r="AA310" i="8" s="1"/>
  <c r="Z273" i="8"/>
  <c r="AA273" i="8" s="1"/>
  <c r="Y293" i="8"/>
  <c r="AC293" i="8" s="1"/>
  <c r="Z247" i="8"/>
  <c r="AA247" i="8" s="1"/>
  <c r="Y247" i="8"/>
  <c r="Z307" i="8"/>
  <c r="AA307" i="8" s="1"/>
  <c r="Y307" i="8"/>
  <c r="Y276" i="8"/>
  <c r="Z276" i="8"/>
  <c r="AA276" i="8" s="1"/>
  <c r="Z221" i="8"/>
  <c r="AA221" i="8" s="1"/>
  <c r="Y221" i="8"/>
  <c r="Z295" i="8"/>
  <c r="AA295" i="8" s="1"/>
  <c r="Y295" i="8"/>
  <c r="Y298" i="8"/>
  <c r="Z298" i="8"/>
  <c r="AA298" i="8" s="1"/>
  <c r="Y222" i="8"/>
  <c r="Z222" i="8"/>
  <c r="AA222" i="8" s="1"/>
  <c r="Y234" i="8"/>
  <c r="Z234" i="8"/>
  <c r="AA234" i="8" s="1"/>
  <c r="Y266" i="8"/>
  <c r="Z266" i="8"/>
  <c r="AA266" i="8" s="1"/>
  <c r="Z257" i="8"/>
  <c r="AA257" i="8" s="1"/>
  <c r="Y257" i="8"/>
  <c r="Y198" i="8"/>
  <c r="Z198" i="8"/>
  <c r="AA198" i="8" s="1"/>
  <c r="Z299" i="8"/>
  <c r="AA299" i="8" s="1"/>
  <c r="Y299" i="8"/>
  <c r="Z288" i="8"/>
  <c r="AA288" i="8" s="1"/>
  <c r="Y288" i="8"/>
  <c r="AD282" i="8"/>
  <c r="AE282" i="8" s="1"/>
  <c r="AF282" i="8" s="1"/>
  <c r="AC282" i="8"/>
  <c r="Y287" i="8"/>
  <c r="Z287" i="8"/>
  <c r="AA287" i="8" s="1"/>
  <c r="Y256" i="8"/>
  <c r="Z256" i="8"/>
  <c r="AA256" i="8" s="1"/>
  <c r="Y319" i="8"/>
  <c r="Z319" i="8"/>
  <c r="AA319" i="8" s="1"/>
  <c r="AC290" i="8"/>
  <c r="AD290" i="8"/>
  <c r="AE290" i="8" s="1"/>
  <c r="AF290" i="8" s="1"/>
  <c r="Y285" i="8"/>
  <c r="Z285" i="8"/>
  <c r="AA285" i="8" s="1"/>
  <c r="Z248" i="8"/>
  <c r="AA248" i="8" s="1"/>
  <c r="Y248" i="8"/>
  <c r="AC289" i="8"/>
  <c r="AD289" i="8"/>
  <c r="AE289" i="8" s="1"/>
  <c r="AF289" i="8" s="1"/>
  <c r="Z264" i="8"/>
  <c r="AA264" i="8" s="1"/>
  <c r="Y264" i="8"/>
  <c r="AA200" i="8"/>
  <c r="AD314" i="8"/>
  <c r="AE314" i="8" s="1"/>
  <c r="AF314" i="8" s="1"/>
  <c r="AC314" i="8"/>
  <c r="Y230" i="8"/>
  <c r="Z230" i="8"/>
  <c r="AA230" i="8" s="1"/>
  <c r="Y240" i="8"/>
  <c r="Z240" i="8"/>
  <c r="AA240" i="8" s="1"/>
  <c r="Y254" i="8"/>
  <c r="Z254" i="8"/>
  <c r="AA254" i="8" s="1"/>
  <c r="Y255" i="8"/>
  <c r="Z255" i="8"/>
  <c r="AA255" i="8" s="1"/>
  <c r="Z219" i="8"/>
  <c r="AA219" i="8" s="1"/>
  <c r="Y219" i="8"/>
  <c r="Z250" i="8"/>
  <c r="AA250" i="8" s="1"/>
  <c r="Y250" i="8"/>
  <c r="Y241" i="8"/>
  <c r="Z241" i="8"/>
  <c r="AA241" i="8" s="1"/>
  <c r="Z259" i="8"/>
  <c r="AA259" i="8" s="1"/>
  <c r="Y259" i="8"/>
  <c r="Z217" i="8"/>
  <c r="AA217" i="8" s="1"/>
  <c r="Y217" i="8"/>
  <c r="Y249" i="8"/>
  <c r="Z249" i="8"/>
  <c r="AA249" i="8" s="1"/>
  <c r="Z204" i="8"/>
  <c r="AA204" i="8" s="1"/>
  <c r="Y204" i="8"/>
  <c r="Z313" i="8"/>
  <c r="AA313" i="8" s="1"/>
  <c r="Y313" i="8"/>
  <c r="Y262" i="8"/>
  <c r="Z262" i="8"/>
  <c r="AA262" i="8" s="1"/>
  <c r="Y242" i="8"/>
  <c r="Z242" i="8"/>
  <c r="AA242" i="8" s="1"/>
  <c r="Y235" i="8"/>
  <c r="Z235" i="8"/>
  <c r="AA235" i="8" s="1"/>
  <c r="Y296" i="8"/>
  <c r="Z296" i="8"/>
  <c r="AA296" i="8" s="1"/>
  <c r="Y320" i="8"/>
  <c r="Z320" i="8"/>
  <c r="AA320" i="8" s="1"/>
  <c r="Y308" i="8"/>
  <c r="Z308" i="8"/>
  <c r="AA308" i="8" s="1"/>
  <c r="Z321" i="8"/>
  <c r="AA321" i="8" s="1"/>
  <c r="Y321" i="8"/>
  <c r="Y223" i="8"/>
  <c r="Z223" i="8"/>
  <c r="AA223" i="8" s="1"/>
  <c r="Y279" i="8"/>
  <c r="Z279" i="8"/>
  <c r="AA279" i="8" s="1"/>
  <c r="Y233" i="8"/>
  <c r="Z233" i="8"/>
  <c r="AA233" i="8" s="1"/>
  <c r="Z209" i="8"/>
  <c r="AA209" i="8" s="1"/>
  <c r="Y209" i="8"/>
  <c r="Z218" i="8"/>
  <c r="AA218" i="8" s="1"/>
  <c r="Y218" i="8"/>
  <c r="Y272" i="8"/>
  <c r="Z272" i="8"/>
  <c r="AA272" i="8" s="1"/>
  <c r="Z258" i="8"/>
  <c r="AA258" i="8" s="1"/>
  <c r="Y258" i="8"/>
  <c r="Z202" i="8"/>
  <c r="AA202" i="8" s="1"/>
  <c r="Y202" i="8"/>
  <c r="Z213" i="8"/>
  <c r="AA213" i="8" s="1"/>
  <c r="Y213" i="8"/>
  <c r="Z216" i="8"/>
  <c r="AA216" i="8" s="1"/>
  <c r="Y216" i="8"/>
  <c r="Z291" i="8"/>
  <c r="AA291" i="8" s="1"/>
  <c r="Y291" i="8"/>
  <c r="Y214" i="8"/>
  <c r="Z214" i="8"/>
  <c r="AA214" i="8" s="1"/>
  <c r="Y228" i="8"/>
  <c r="Z228" i="8"/>
  <c r="AA228" i="8" s="1"/>
  <c r="Z316" i="8"/>
  <c r="AA316" i="8" s="1"/>
  <c r="Y316" i="8"/>
  <c r="Y305" i="8"/>
  <c r="Z305" i="8"/>
  <c r="AA305" i="8" s="1"/>
  <c r="Y236" i="8"/>
  <c r="Z236" i="8"/>
  <c r="AA236" i="8" s="1"/>
  <c r="Y327" i="8"/>
  <c r="Z327" i="8"/>
  <c r="AA327" i="8" s="1"/>
  <c r="Z245" i="8"/>
  <c r="AA245" i="8" s="1"/>
  <c r="Y245" i="8"/>
  <c r="Y292" i="8"/>
  <c r="Z292" i="8"/>
  <c r="AA292" i="8" s="1"/>
  <c r="Y220" i="8"/>
  <c r="Z220" i="8"/>
  <c r="AA220" i="8" s="1"/>
  <c r="Z274" i="8"/>
  <c r="AA274" i="8" s="1"/>
  <c r="Y274" i="8"/>
  <c r="Z224" i="8"/>
  <c r="AA224" i="8" s="1"/>
  <c r="Y224" i="8"/>
  <c r="Z318" i="8"/>
  <c r="AA318" i="8" s="1"/>
  <c r="Y318" i="8"/>
  <c r="Z325" i="8"/>
  <c r="AA325" i="8" s="1"/>
  <c r="Y325" i="8"/>
  <c r="Y300" i="8"/>
  <c r="Z300" i="8"/>
  <c r="AA300" i="8" s="1"/>
  <c r="Y212" i="8"/>
  <c r="Z212" i="8"/>
  <c r="AA212" i="8" s="1"/>
  <c r="Y225" i="8"/>
  <c r="Z225" i="8"/>
  <c r="AA225" i="8" s="1"/>
  <c r="Y231" i="8"/>
  <c r="Z231" i="8"/>
  <c r="AA231" i="8" s="1"/>
  <c r="Y263" i="8"/>
  <c r="Z263" i="8"/>
  <c r="AA263" i="8" s="1"/>
  <c r="Z317" i="8"/>
  <c r="AA317" i="8" s="1"/>
  <c r="Y317" i="8"/>
  <c r="AL135" i="8"/>
  <c r="AJ135" i="8"/>
  <c r="AK135" i="8" s="1"/>
  <c r="AE112" i="8"/>
  <c r="AI112" i="8" s="1"/>
  <c r="AE136" i="8"/>
  <c r="AI136" i="8" s="1"/>
  <c r="AL136" i="8" s="1"/>
  <c r="AE65" i="8"/>
  <c r="AI65" i="8" s="1"/>
  <c r="AJ65" i="8" s="1"/>
  <c r="AK65" i="8" s="1"/>
  <c r="AE88" i="8"/>
  <c r="AI88" i="8" s="1"/>
  <c r="AL111" i="8"/>
  <c r="AJ160" i="8"/>
  <c r="AK160" i="8" s="1"/>
  <c r="AG89" i="8"/>
  <c r="AH89" i="8" s="1"/>
  <c r="AD89" i="8"/>
  <c r="AC89" i="8"/>
  <c r="AD66" i="8"/>
  <c r="AG66" i="8"/>
  <c r="AH66" i="8" s="1"/>
  <c r="AC66" i="8"/>
  <c r="AC162" i="8"/>
  <c r="AG162" i="8"/>
  <c r="AH162" i="8" s="1"/>
  <c r="AD162" i="8"/>
  <c r="AD137" i="8"/>
  <c r="AC137" i="8"/>
  <c r="AG137" i="8"/>
  <c r="AH137" i="8" s="1"/>
  <c r="R65" i="8"/>
  <c r="Q65" i="8"/>
  <c r="R112" i="8"/>
  <c r="Q112" i="8"/>
  <c r="AJ64" i="8"/>
  <c r="AK64" i="8" s="1"/>
  <c r="AL64" i="8"/>
  <c r="R161" i="8"/>
  <c r="Q161" i="8"/>
  <c r="AD113" i="8"/>
  <c r="AC113" i="8"/>
  <c r="AG113" i="8"/>
  <c r="AH113" i="8" s="1"/>
  <c r="R136" i="8"/>
  <c r="Q136" i="8"/>
  <c r="R88" i="8"/>
  <c r="Q88" i="8"/>
  <c r="AL87" i="8"/>
  <c r="AJ87" i="8"/>
  <c r="AK87" i="8" s="1"/>
  <c r="U13" i="8"/>
  <c r="X13" i="8" s="1"/>
  <c r="AE161" i="8"/>
  <c r="AI161" i="8" s="1"/>
  <c r="E137" i="8"/>
  <c r="E113" i="8"/>
  <c r="E162" i="8"/>
  <c r="E66" i="8"/>
  <c r="E89" i="8"/>
  <c r="B163" i="8"/>
  <c r="C163" i="8" s="1"/>
  <c r="D163" i="8" s="1"/>
  <c r="C138" i="8"/>
  <c r="D138" i="8" s="1"/>
  <c r="B139" i="8"/>
  <c r="C114" i="8"/>
  <c r="D114" i="8" s="1"/>
  <c r="B115" i="8"/>
  <c r="C90" i="8"/>
  <c r="D90" i="8" s="1"/>
  <c r="B91" i="8"/>
  <c r="B67" i="8"/>
  <c r="C67" i="8" s="1"/>
  <c r="D67" i="8" s="1"/>
  <c r="AD210" i="8" l="1"/>
  <c r="AE210" i="8" s="1"/>
  <c r="AF210" i="8" s="1"/>
  <c r="G60" i="8" s="1"/>
  <c r="AD260" i="8"/>
  <c r="AE260" i="8" s="1"/>
  <c r="AF260" i="8" s="1"/>
  <c r="G110" i="8" s="1"/>
  <c r="AD244" i="8"/>
  <c r="AE244" i="8" s="1"/>
  <c r="AF244" i="8" s="1"/>
  <c r="AD239" i="8"/>
  <c r="AE239" i="8" s="1"/>
  <c r="AF239" i="8" s="1"/>
  <c r="AC294" i="8"/>
  <c r="AC281" i="8"/>
  <c r="AC278" i="8"/>
  <c r="H128" i="8" s="1"/>
  <c r="AD286" i="8"/>
  <c r="AE286" i="8" s="1"/>
  <c r="AF286" i="8" s="1"/>
  <c r="AC286" i="8"/>
  <c r="AD281" i="8"/>
  <c r="AE281" i="8" s="1"/>
  <c r="AF281" i="8" s="1"/>
  <c r="AC244" i="8"/>
  <c r="AD203" i="8"/>
  <c r="AE203" i="8" s="1"/>
  <c r="AF203" i="8" s="1"/>
  <c r="AC207" i="8"/>
  <c r="AC203" i="8"/>
  <c r="AD207" i="8"/>
  <c r="AE207" i="8" s="1"/>
  <c r="AF207" i="8" s="1"/>
  <c r="AD280" i="8"/>
  <c r="AE280" i="8" s="1"/>
  <c r="AF280" i="8" s="1"/>
  <c r="H130" i="8" s="1"/>
  <c r="AD208" i="8"/>
  <c r="AE208" i="8" s="1"/>
  <c r="AF208" i="8" s="1"/>
  <c r="AD268" i="8"/>
  <c r="AE268" i="8" s="1"/>
  <c r="AF268" i="8" s="1"/>
  <c r="AC268" i="8"/>
  <c r="G136" i="8"/>
  <c r="AD267" i="8"/>
  <c r="AE267" i="8" s="1"/>
  <c r="AF267" i="8" s="1"/>
  <c r="AC208" i="8"/>
  <c r="AD226" i="8"/>
  <c r="AE226" i="8" s="1"/>
  <c r="AF226" i="8" s="1"/>
  <c r="H76" i="8" s="1"/>
  <c r="AD205" i="8"/>
  <c r="AE205" i="8" s="1"/>
  <c r="AF205" i="8" s="1"/>
  <c r="G55" i="8" s="1"/>
  <c r="AC267" i="8"/>
  <c r="AD283" i="8"/>
  <c r="AE283" i="8" s="1"/>
  <c r="AF283" i="8" s="1"/>
  <c r="H133" i="8" s="1"/>
  <c r="AD277" i="8"/>
  <c r="AE277" i="8" s="1"/>
  <c r="AF277" i="8" s="1"/>
  <c r="AC277" i="8"/>
  <c r="AD243" i="8"/>
  <c r="AE243" i="8" s="1"/>
  <c r="AF243" i="8" s="1"/>
  <c r="H93" i="8" s="1"/>
  <c r="AC229" i="8"/>
  <c r="H79" i="8" s="1"/>
  <c r="AD303" i="8"/>
  <c r="AE303" i="8" s="1"/>
  <c r="AF303" i="8" s="1"/>
  <c r="H153" i="8" s="1"/>
  <c r="AD328" i="8"/>
  <c r="AE328" i="8" s="1"/>
  <c r="AF328" i="8" s="1"/>
  <c r="G178" i="8" s="1"/>
  <c r="AD237" i="8"/>
  <c r="AE237" i="8" s="1"/>
  <c r="AF237" i="8" s="1"/>
  <c r="AC238" i="8"/>
  <c r="AD238" i="8"/>
  <c r="AE238" i="8" s="1"/>
  <c r="AF238" i="8" s="1"/>
  <c r="AD297" i="8"/>
  <c r="AE297" i="8" s="1"/>
  <c r="AF297" i="8" s="1"/>
  <c r="H147" i="8" s="1"/>
  <c r="AC237" i="8"/>
  <c r="AD200" i="8"/>
  <c r="AE200" i="8" s="1"/>
  <c r="AF200" i="8" s="1"/>
  <c r="G50" i="8" s="1"/>
  <c r="AC201" i="8"/>
  <c r="AD312" i="8"/>
  <c r="AE312" i="8" s="1"/>
  <c r="AF312" i="8" s="1"/>
  <c r="G162" i="8" s="1"/>
  <c r="AD201" i="8"/>
  <c r="AE201" i="8" s="1"/>
  <c r="AF201" i="8" s="1"/>
  <c r="H110" i="8"/>
  <c r="AD326" i="8"/>
  <c r="AE326" i="8" s="1"/>
  <c r="AF326" i="8" s="1"/>
  <c r="AC306" i="8"/>
  <c r="G156" i="8" s="1"/>
  <c r="AC326" i="8"/>
  <c r="AD211" i="8"/>
  <c r="AE211" i="8" s="1"/>
  <c r="AF211" i="8" s="1"/>
  <c r="G61" i="8" s="1"/>
  <c r="AC322" i="8"/>
  <c r="G172" i="8" s="1"/>
  <c r="AC232" i="8"/>
  <c r="AD215" i="8"/>
  <c r="AE215" i="8" s="1"/>
  <c r="AF215" i="8" s="1"/>
  <c r="H65" i="8" s="1"/>
  <c r="AD232" i="8"/>
  <c r="AE232" i="8" s="1"/>
  <c r="AF232" i="8" s="1"/>
  <c r="AC323" i="8"/>
  <c r="H173" i="8" s="1"/>
  <c r="H132" i="8"/>
  <c r="AC206" i="8"/>
  <c r="AC227" i="8"/>
  <c r="AD309" i="8"/>
  <c r="AE309" i="8" s="1"/>
  <c r="AF309" i="8" s="1"/>
  <c r="G159" i="8" s="1"/>
  <c r="H131" i="8"/>
  <c r="AD227" i="8"/>
  <c r="AE227" i="8" s="1"/>
  <c r="AF227" i="8" s="1"/>
  <c r="AD270" i="8"/>
  <c r="AE270" i="8" s="1"/>
  <c r="AF270" i="8" s="1"/>
  <c r="G120" i="8" s="1"/>
  <c r="G139" i="8"/>
  <c r="AC252" i="8"/>
  <c r="AD284" i="8"/>
  <c r="AE284" i="8" s="1"/>
  <c r="AF284" i="8" s="1"/>
  <c r="H134" i="8" s="1"/>
  <c r="AD253" i="8"/>
  <c r="AE253" i="8" s="1"/>
  <c r="AF253" i="8" s="1"/>
  <c r="AC251" i="8"/>
  <c r="AD251" i="8"/>
  <c r="AE251" i="8" s="1"/>
  <c r="AF251" i="8" s="1"/>
  <c r="AC253" i="8"/>
  <c r="AD315" i="8"/>
  <c r="AE315" i="8" s="1"/>
  <c r="AF315" i="8" s="1"/>
  <c r="G140" i="8"/>
  <c r="AD301" i="8"/>
  <c r="AE301" i="8" s="1"/>
  <c r="AF301" i="8" s="1"/>
  <c r="G151" i="8" s="1"/>
  <c r="AD269" i="8"/>
  <c r="AE269" i="8" s="1"/>
  <c r="AF269" i="8" s="1"/>
  <c r="AD206" i="8"/>
  <c r="AE206" i="8" s="1"/>
  <c r="AF206" i="8" s="1"/>
  <c r="AD302" i="8"/>
  <c r="AE302" i="8" s="1"/>
  <c r="AF302" i="8" s="1"/>
  <c r="AD265" i="8"/>
  <c r="AE265" i="8" s="1"/>
  <c r="AF265" i="8" s="1"/>
  <c r="AD246" i="8"/>
  <c r="AE246" i="8" s="1"/>
  <c r="AF246" i="8" s="1"/>
  <c r="AD252" i="8"/>
  <c r="AE252" i="8" s="1"/>
  <c r="AF252" i="8" s="1"/>
  <c r="AC315" i="8"/>
  <c r="AC302" i="8"/>
  <c r="AC265" i="8"/>
  <c r="AC324" i="8"/>
  <c r="AD304" i="8"/>
  <c r="AE304" i="8" s="1"/>
  <c r="AF304" i="8" s="1"/>
  <c r="G154" i="8" s="1"/>
  <c r="AC271" i="8"/>
  <c r="AC269" i="8"/>
  <c r="AC246" i="8"/>
  <c r="AD324" i="8"/>
  <c r="AE324" i="8" s="1"/>
  <c r="AF324" i="8" s="1"/>
  <c r="AD271" i="8"/>
  <c r="AE271" i="8" s="1"/>
  <c r="AF271" i="8" s="1"/>
  <c r="AD293" i="8"/>
  <c r="AE293" i="8" s="1"/>
  <c r="AF293" i="8" s="1"/>
  <c r="H143" i="8" s="1"/>
  <c r="AD273" i="8"/>
  <c r="AE273" i="8" s="1"/>
  <c r="AF273" i="8" s="1"/>
  <c r="AC273" i="8"/>
  <c r="AD261" i="8"/>
  <c r="AE261" i="8" s="1"/>
  <c r="AF261" i="8" s="1"/>
  <c r="H111" i="8" s="1"/>
  <c r="AD311" i="8"/>
  <c r="AE311" i="8" s="1"/>
  <c r="AF311" i="8" s="1"/>
  <c r="G161" i="8" s="1"/>
  <c r="AD275" i="8"/>
  <c r="AE275" i="8" s="1"/>
  <c r="AF275" i="8" s="1"/>
  <c r="H125" i="8" s="1"/>
  <c r="H164" i="8"/>
  <c r="AD310" i="8"/>
  <c r="AE310" i="8" s="1"/>
  <c r="AF310" i="8" s="1"/>
  <c r="AC310" i="8"/>
  <c r="H144" i="8"/>
  <c r="G89" i="8"/>
  <c r="AD222" i="8"/>
  <c r="AE222" i="8" s="1"/>
  <c r="AF222" i="8" s="1"/>
  <c r="AC222" i="8"/>
  <c r="AC242" i="8"/>
  <c r="AD242" i="8"/>
  <c r="AE242" i="8" s="1"/>
  <c r="AF242" i="8" s="1"/>
  <c r="H140" i="8"/>
  <c r="AC305" i="8"/>
  <c r="AD305" i="8"/>
  <c r="AE305" i="8" s="1"/>
  <c r="AF305" i="8" s="1"/>
  <c r="AC223" i="8"/>
  <c r="AD223" i="8"/>
  <c r="AE223" i="8" s="1"/>
  <c r="AF223" i="8" s="1"/>
  <c r="G164" i="8"/>
  <c r="AD204" i="8"/>
  <c r="AE204" i="8" s="1"/>
  <c r="AF204" i="8" s="1"/>
  <c r="AC204" i="8"/>
  <c r="AC257" i="8"/>
  <c r="AD257" i="8"/>
  <c r="AE257" i="8" s="1"/>
  <c r="AF257" i="8" s="1"/>
  <c r="AC214" i="8"/>
  <c r="AD214" i="8"/>
  <c r="AE214" i="8" s="1"/>
  <c r="AF214" i="8" s="1"/>
  <c r="AD259" i="8"/>
  <c r="AE259" i="8" s="1"/>
  <c r="AF259" i="8" s="1"/>
  <c r="AC259" i="8"/>
  <c r="AC317" i="8"/>
  <c r="AD317" i="8"/>
  <c r="AE317" i="8" s="1"/>
  <c r="AF317" i="8" s="1"/>
  <c r="AC291" i="8"/>
  <c r="AD291" i="8"/>
  <c r="AE291" i="8" s="1"/>
  <c r="AF291" i="8" s="1"/>
  <c r="G57" i="8"/>
  <c r="AC264" i="8"/>
  <c r="AD264" i="8"/>
  <c r="AE264" i="8" s="1"/>
  <c r="AF264" i="8" s="1"/>
  <c r="AD318" i="8"/>
  <c r="AE318" i="8" s="1"/>
  <c r="AF318" i="8" s="1"/>
  <c r="AC318" i="8"/>
  <c r="AD216" i="8"/>
  <c r="AE216" i="8" s="1"/>
  <c r="AF216" i="8" s="1"/>
  <c r="AC216" i="8"/>
  <c r="AD266" i="8"/>
  <c r="AE266" i="8" s="1"/>
  <c r="AF266" i="8" s="1"/>
  <c r="AC266" i="8"/>
  <c r="AC241" i="8"/>
  <c r="AD241" i="8"/>
  <c r="AE241" i="8" s="1"/>
  <c r="AF241" i="8" s="1"/>
  <c r="G132" i="8"/>
  <c r="AD276" i="8"/>
  <c r="AE276" i="8" s="1"/>
  <c r="AF276" i="8" s="1"/>
  <c r="AC276" i="8"/>
  <c r="AD327" i="8"/>
  <c r="AE327" i="8" s="1"/>
  <c r="AF327" i="8" s="1"/>
  <c r="AC327" i="8"/>
  <c r="AC248" i="8"/>
  <c r="AD248" i="8"/>
  <c r="AE248" i="8" s="1"/>
  <c r="AF248" i="8" s="1"/>
  <c r="AD225" i="8"/>
  <c r="AE225" i="8" s="1"/>
  <c r="AF225" i="8" s="1"/>
  <c r="AC225" i="8"/>
  <c r="AC221" i="8"/>
  <c r="AD221" i="8"/>
  <c r="AE221" i="8" s="1"/>
  <c r="AF221" i="8" s="1"/>
  <c r="AD247" i="8"/>
  <c r="AE247" i="8" s="1"/>
  <c r="AF247" i="8" s="1"/>
  <c r="AC247" i="8"/>
  <c r="AD212" i="8"/>
  <c r="AE212" i="8" s="1"/>
  <c r="AF212" i="8" s="1"/>
  <c r="AC212" i="8"/>
  <c r="AD292" i="8"/>
  <c r="AE292" i="8" s="1"/>
  <c r="AF292" i="8" s="1"/>
  <c r="AC292" i="8"/>
  <c r="AD228" i="8"/>
  <c r="AE228" i="8" s="1"/>
  <c r="AF228" i="8" s="1"/>
  <c r="AC228" i="8"/>
  <c r="AD320" i="8"/>
  <c r="AE320" i="8" s="1"/>
  <c r="AF320" i="8" s="1"/>
  <c r="AC320" i="8"/>
  <c r="AD300" i="8"/>
  <c r="AE300" i="8" s="1"/>
  <c r="AF300" i="8" s="1"/>
  <c r="AC300" i="8"/>
  <c r="AC272" i="8"/>
  <c r="AD272" i="8"/>
  <c r="AE272" i="8" s="1"/>
  <c r="AF272" i="8" s="1"/>
  <c r="G128" i="8"/>
  <c r="AC325" i="8"/>
  <c r="AD325" i="8"/>
  <c r="AE325" i="8" s="1"/>
  <c r="AF325" i="8" s="1"/>
  <c r="AC245" i="8"/>
  <c r="AD245" i="8"/>
  <c r="AE245" i="8" s="1"/>
  <c r="AF245" i="8" s="1"/>
  <c r="AD218" i="8"/>
  <c r="AE218" i="8" s="1"/>
  <c r="AF218" i="8" s="1"/>
  <c r="AC218" i="8"/>
  <c r="AD240" i="8"/>
  <c r="AE240" i="8" s="1"/>
  <c r="AF240" i="8" s="1"/>
  <c r="AC240" i="8"/>
  <c r="AC256" i="8"/>
  <c r="AD256" i="8"/>
  <c r="AE256" i="8" s="1"/>
  <c r="AF256" i="8" s="1"/>
  <c r="AC296" i="8"/>
  <c r="AD296" i="8"/>
  <c r="AE296" i="8" s="1"/>
  <c r="AF296" i="8" s="1"/>
  <c r="AC249" i="8"/>
  <c r="AD249" i="8"/>
  <c r="AE249" i="8" s="1"/>
  <c r="AF249" i="8" s="1"/>
  <c r="AD287" i="8"/>
  <c r="AE287" i="8" s="1"/>
  <c r="AF287" i="8" s="1"/>
  <c r="AC287" i="8"/>
  <c r="AD235" i="8"/>
  <c r="AE235" i="8" s="1"/>
  <c r="AF235" i="8" s="1"/>
  <c r="AC235" i="8"/>
  <c r="AD224" i="8"/>
  <c r="AE224" i="8" s="1"/>
  <c r="AF224" i="8" s="1"/>
  <c r="AC224" i="8"/>
  <c r="AC213" i="8"/>
  <c r="AD213" i="8"/>
  <c r="AE213" i="8" s="1"/>
  <c r="AF213" i="8" s="1"/>
  <c r="AC209" i="8"/>
  <c r="AD209" i="8"/>
  <c r="AE209" i="8" s="1"/>
  <c r="AF209" i="8" s="1"/>
  <c r="H139" i="8"/>
  <c r="AD234" i="8"/>
  <c r="AE234" i="8" s="1"/>
  <c r="AF234" i="8" s="1"/>
  <c r="AC234" i="8"/>
  <c r="AD263" i="8"/>
  <c r="AE263" i="8" s="1"/>
  <c r="AF263" i="8" s="1"/>
  <c r="AC263" i="8"/>
  <c r="AD236" i="8"/>
  <c r="AE236" i="8" s="1"/>
  <c r="AF236" i="8" s="1"/>
  <c r="AC236" i="8"/>
  <c r="AD233" i="8"/>
  <c r="AE233" i="8" s="1"/>
  <c r="AF233" i="8" s="1"/>
  <c r="AC233" i="8"/>
  <c r="AD250" i="8"/>
  <c r="AE250" i="8" s="1"/>
  <c r="AF250" i="8" s="1"/>
  <c r="AC250" i="8"/>
  <c r="AC274" i="8"/>
  <c r="AD274" i="8"/>
  <c r="AE274" i="8" s="1"/>
  <c r="AF274" i="8" s="1"/>
  <c r="AD285" i="8"/>
  <c r="AE285" i="8" s="1"/>
  <c r="AF285" i="8" s="1"/>
  <c r="AC285" i="8"/>
  <c r="AC298" i="8"/>
  <c r="AD298" i="8"/>
  <c r="AE298" i="8" s="1"/>
  <c r="AF298" i="8" s="1"/>
  <c r="G144" i="8"/>
  <c r="AD279" i="8"/>
  <c r="AE279" i="8" s="1"/>
  <c r="AF279" i="8" s="1"/>
  <c r="AC279" i="8"/>
  <c r="AC219" i="8"/>
  <c r="AD219" i="8"/>
  <c r="AE219" i="8" s="1"/>
  <c r="AF219" i="8" s="1"/>
  <c r="AD288" i="8"/>
  <c r="AE288" i="8" s="1"/>
  <c r="AF288" i="8" s="1"/>
  <c r="AC288" i="8"/>
  <c r="AC307" i="8"/>
  <c r="AD307" i="8"/>
  <c r="AE307" i="8" s="1"/>
  <c r="AF307" i="8" s="1"/>
  <c r="AD230" i="8"/>
  <c r="AE230" i="8" s="1"/>
  <c r="AF230" i="8" s="1"/>
  <c r="AC230" i="8"/>
  <c r="AD231" i="8"/>
  <c r="AE231" i="8" s="1"/>
  <c r="AF231" i="8" s="1"/>
  <c r="AC231" i="8"/>
  <c r="AC262" i="8"/>
  <c r="AD262" i="8"/>
  <c r="AE262" i="8" s="1"/>
  <c r="AF262" i="8" s="1"/>
  <c r="AC217" i="8"/>
  <c r="AD217" i="8"/>
  <c r="AE217" i="8" s="1"/>
  <c r="AF217" i="8" s="1"/>
  <c r="AC299" i="8"/>
  <c r="AD299" i="8"/>
  <c r="AE299" i="8" s="1"/>
  <c r="AF299" i="8" s="1"/>
  <c r="AC295" i="8"/>
  <c r="AD295" i="8"/>
  <c r="AE295" i="8" s="1"/>
  <c r="AF295" i="8" s="1"/>
  <c r="AD202" i="8"/>
  <c r="AE202" i="8" s="1"/>
  <c r="AF202" i="8" s="1"/>
  <c r="AC202" i="8"/>
  <c r="AD321" i="8"/>
  <c r="AE321" i="8" s="1"/>
  <c r="AF321" i="8" s="1"/>
  <c r="AC321" i="8"/>
  <c r="AC255" i="8"/>
  <c r="AD255" i="8"/>
  <c r="AE255" i="8" s="1"/>
  <c r="AF255" i="8" s="1"/>
  <c r="AD319" i="8"/>
  <c r="AE319" i="8" s="1"/>
  <c r="AF319" i="8" s="1"/>
  <c r="AC319" i="8"/>
  <c r="H89" i="8"/>
  <c r="AD316" i="8"/>
  <c r="AE316" i="8" s="1"/>
  <c r="AF316" i="8" s="1"/>
  <c r="AC316" i="8"/>
  <c r="AD258" i="8"/>
  <c r="AE258" i="8" s="1"/>
  <c r="AF258" i="8" s="1"/>
  <c r="AC258" i="8"/>
  <c r="H136" i="8"/>
  <c r="AD254" i="8"/>
  <c r="AE254" i="8" s="1"/>
  <c r="AF254" i="8" s="1"/>
  <c r="AC254" i="8"/>
  <c r="AD198" i="8"/>
  <c r="AE198" i="8" s="1"/>
  <c r="AF198" i="8" s="1"/>
  <c r="AC198" i="8"/>
  <c r="U11" i="8" s="1"/>
  <c r="X11" i="8" s="1"/>
  <c r="AC220" i="8"/>
  <c r="AD220" i="8"/>
  <c r="AE220" i="8" s="1"/>
  <c r="AF220" i="8" s="1"/>
  <c r="AC308" i="8"/>
  <c r="AD308" i="8"/>
  <c r="AE308" i="8" s="1"/>
  <c r="AF308" i="8" s="1"/>
  <c r="AC313" i="8"/>
  <c r="AD313" i="8"/>
  <c r="AE313" i="8" s="1"/>
  <c r="AF313" i="8" s="1"/>
  <c r="AE66" i="8"/>
  <c r="AI66" i="8" s="1"/>
  <c r="AL66" i="8" s="1"/>
  <c r="AE89" i="8"/>
  <c r="AI89" i="8" s="1"/>
  <c r="AL89" i="8" s="1"/>
  <c r="AE137" i="8"/>
  <c r="AI137" i="8" s="1"/>
  <c r="AJ137" i="8" s="1"/>
  <c r="AK137" i="8" s="1"/>
  <c r="AL112" i="8"/>
  <c r="AJ112" i="8"/>
  <c r="AK112" i="8" s="1"/>
  <c r="AL65" i="8"/>
  <c r="AE113" i="8"/>
  <c r="AI113" i="8" s="1"/>
  <c r="AJ136" i="8"/>
  <c r="AK136" i="8" s="1"/>
  <c r="AJ161" i="8"/>
  <c r="AK161" i="8" s="1"/>
  <c r="AL161" i="8"/>
  <c r="AC90" i="8"/>
  <c r="AD90" i="8"/>
  <c r="AG90" i="8"/>
  <c r="AH90" i="8" s="1"/>
  <c r="AL88" i="8"/>
  <c r="AJ88" i="8"/>
  <c r="AK88" i="8" s="1"/>
  <c r="AC114" i="8"/>
  <c r="AG114" i="8"/>
  <c r="AH114" i="8" s="1"/>
  <c r="AD114" i="8"/>
  <c r="AC138" i="8"/>
  <c r="AG138" i="8"/>
  <c r="AH138" i="8" s="1"/>
  <c r="AD138" i="8"/>
  <c r="AE162" i="8"/>
  <c r="AI162" i="8" s="1"/>
  <c r="AC163" i="8"/>
  <c r="AD163" i="8"/>
  <c r="AG163" i="8"/>
  <c r="AH163" i="8" s="1"/>
  <c r="R89" i="8"/>
  <c r="Q89" i="8"/>
  <c r="R162" i="8"/>
  <c r="Q162" i="8"/>
  <c r="R113" i="8"/>
  <c r="Q113" i="8"/>
  <c r="Q137" i="8"/>
  <c r="R137" i="8"/>
  <c r="AG67" i="8"/>
  <c r="AH67" i="8" s="1"/>
  <c r="AC67" i="8"/>
  <c r="AD67" i="8"/>
  <c r="R66" i="8"/>
  <c r="Q66" i="8"/>
  <c r="E114" i="8"/>
  <c r="E90" i="8"/>
  <c r="E163" i="8"/>
  <c r="E138" i="8"/>
  <c r="E67" i="8"/>
  <c r="B140" i="8"/>
  <c r="C115" i="8"/>
  <c r="D115" i="8" s="1"/>
  <c r="B164" i="8"/>
  <c r="C164" i="8" s="1"/>
  <c r="D164" i="8" s="1"/>
  <c r="C139" i="8"/>
  <c r="D139" i="8" s="1"/>
  <c r="B116" i="8"/>
  <c r="C91" i="8"/>
  <c r="D91" i="8" s="1"/>
  <c r="B92" i="8"/>
  <c r="B68" i="8"/>
  <c r="C68" i="8" s="1"/>
  <c r="D68" i="8" s="1"/>
  <c r="H60" i="8" l="1"/>
  <c r="G131" i="8"/>
  <c r="G94" i="8"/>
  <c r="H53" i="8"/>
  <c r="H118" i="8"/>
  <c r="H94" i="8"/>
  <c r="H58" i="8"/>
  <c r="G88" i="8"/>
  <c r="G117" i="8"/>
  <c r="G53" i="8"/>
  <c r="G130" i="8"/>
  <c r="G133" i="8"/>
  <c r="H57" i="8"/>
  <c r="G76" i="8"/>
  <c r="H55" i="8"/>
  <c r="G127" i="8"/>
  <c r="H117" i="8"/>
  <c r="G118" i="8"/>
  <c r="G147" i="8"/>
  <c r="G58" i="8"/>
  <c r="G173" i="8"/>
  <c r="H127" i="8"/>
  <c r="H87" i="8"/>
  <c r="G93" i="8"/>
  <c r="G51" i="8"/>
  <c r="H178" i="8"/>
  <c r="I178" i="8" s="1"/>
  <c r="G79" i="8"/>
  <c r="H88" i="8"/>
  <c r="G153" i="8"/>
  <c r="H162" i="8"/>
  <c r="H156" i="8"/>
  <c r="G87" i="8"/>
  <c r="G176" i="8"/>
  <c r="G82" i="8"/>
  <c r="G65" i="8"/>
  <c r="H82" i="8"/>
  <c r="H176" i="8"/>
  <c r="H51" i="8"/>
  <c r="G56" i="8"/>
  <c r="G149" i="8"/>
  <c r="H61" i="8"/>
  <c r="H77" i="8"/>
  <c r="H172" i="8"/>
  <c r="H50" i="8"/>
  <c r="G101" i="8"/>
  <c r="H56" i="8"/>
  <c r="G155" i="8"/>
  <c r="G77" i="8"/>
  <c r="H159" i="8"/>
  <c r="H120" i="8"/>
  <c r="H103" i="8"/>
  <c r="G174" i="8"/>
  <c r="G71" i="8"/>
  <c r="H75" i="8"/>
  <c r="G121" i="8"/>
  <c r="H102" i="8"/>
  <c r="H154" i="8"/>
  <c r="G134" i="8"/>
  <c r="G103" i="8"/>
  <c r="G98" i="8"/>
  <c r="G152" i="8"/>
  <c r="H123" i="8"/>
  <c r="G95" i="8"/>
  <c r="G141" i="8"/>
  <c r="G99" i="8"/>
  <c r="H116" i="8"/>
  <c r="G115" i="8"/>
  <c r="G70" i="8"/>
  <c r="H74" i="8"/>
  <c r="H86" i="8"/>
  <c r="G175" i="8"/>
  <c r="G148" i="8"/>
  <c r="H113" i="8"/>
  <c r="H150" i="8"/>
  <c r="H84" i="8"/>
  <c r="G163" i="8"/>
  <c r="G102" i="8"/>
  <c r="H151" i="8"/>
  <c r="H121" i="8"/>
  <c r="H101" i="8"/>
  <c r="H119" i="8"/>
  <c r="G125" i="8"/>
  <c r="H174" i="8"/>
  <c r="G111" i="8"/>
  <c r="G143" i="8"/>
  <c r="G96" i="8"/>
  <c r="H115" i="8"/>
  <c r="H152" i="8"/>
  <c r="H62" i="8"/>
  <c r="H66" i="8"/>
  <c r="H54" i="8"/>
  <c r="H165" i="8"/>
  <c r="G165" i="8"/>
  <c r="H96" i="8"/>
  <c r="G119" i="8"/>
  <c r="H160" i="8"/>
  <c r="H78" i="8"/>
  <c r="G114" i="8"/>
  <c r="G73" i="8"/>
  <c r="G158" i="8"/>
  <c r="H80" i="8"/>
  <c r="H169" i="8"/>
  <c r="H161" i="8"/>
  <c r="G160" i="8"/>
  <c r="H64" i="8"/>
  <c r="G123" i="8"/>
  <c r="G170" i="8"/>
  <c r="H97" i="8"/>
  <c r="H168" i="8"/>
  <c r="H135" i="8"/>
  <c r="G146" i="8"/>
  <c r="H52" i="8"/>
  <c r="H138" i="8"/>
  <c r="H100" i="8"/>
  <c r="G59" i="8"/>
  <c r="G106" i="8"/>
  <c r="H72" i="8"/>
  <c r="H104" i="8"/>
  <c r="G145" i="8"/>
  <c r="G69" i="8"/>
  <c r="H129" i="8"/>
  <c r="H68" i="8"/>
  <c r="H142" i="8"/>
  <c r="H126" i="8"/>
  <c r="H109" i="8"/>
  <c r="H157" i="8"/>
  <c r="H83" i="8"/>
  <c r="G63" i="8"/>
  <c r="H90" i="8"/>
  <c r="G91" i="8"/>
  <c r="G107" i="8"/>
  <c r="G177" i="8"/>
  <c r="G171" i="8"/>
  <c r="H124" i="8"/>
  <c r="H108" i="8"/>
  <c r="G67" i="8"/>
  <c r="H85" i="8"/>
  <c r="H167" i="8"/>
  <c r="H166" i="8"/>
  <c r="G112" i="8"/>
  <c r="H81" i="8"/>
  <c r="H137" i="8"/>
  <c r="G122" i="8"/>
  <c r="G105" i="8"/>
  <c r="G92" i="8"/>
  <c r="G126" i="8"/>
  <c r="G109" i="8"/>
  <c r="H145" i="8"/>
  <c r="G83" i="8"/>
  <c r="H63" i="8"/>
  <c r="H91" i="8"/>
  <c r="G78" i="8"/>
  <c r="H149" i="8"/>
  <c r="G68" i="8"/>
  <c r="G142" i="8"/>
  <c r="G85" i="8"/>
  <c r="H95" i="8"/>
  <c r="G80" i="8"/>
  <c r="G84" i="8"/>
  <c r="G150" i="8"/>
  <c r="H98" i="8"/>
  <c r="H141" i="8"/>
  <c r="H105" i="8"/>
  <c r="H177" i="8"/>
  <c r="G167" i="8"/>
  <c r="H92" i="8"/>
  <c r="G104" i="8"/>
  <c r="H69" i="8"/>
  <c r="G90" i="8"/>
  <c r="G86" i="8"/>
  <c r="G74" i="8"/>
  <c r="G116" i="8"/>
  <c r="G129" i="8"/>
  <c r="H107" i="8"/>
  <c r="G108" i="8"/>
  <c r="H67" i="8"/>
  <c r="G62" i="8"/>
  <c r="G66" i="8"/>
  <c r="G54" i="8"/>
  <c r="G166" i="8"/>
  <c r="H112" i="8"/>
  <c r="K178" i="8"/>
  <c r="H175" i="8"/>
  <c r="G97" i="8"/>
  <c r="G168" i="8"/>
  <c r="H163" i="8"/>
  <c r="H148" i="8"/>
  <c r="H71" i="8"/>
  <c r="H114" i="8"/>
  <c r="H73" i="8"/>
  <c r="G81" i="8"/>
  <c r="G137" i="8"/>
  <c r="H122" i="8"/>
  <c r="H158" i="8"/>
  <c r="G113" i="8"/>
  <c r="G75" i="8"/>
  <c r="H155" i="8"/>
  <c r="G169" i="8"/>
  <c r="G135" i="8"/>
  <c r="H70" i="8"/>
  <c r="H99" i="8"/>
  <c r="H171" i="8"/>
  <c r="G157" i="8"/>
  <c r="G124" i="8"/>
  <c r="H146" i="8"/>
  <c r="G52" i="8"/>
  <c r="G138" i="8"/>
  <c r="G100" i="8"/>
  <c r="H59" i="8"/>
  <c r="H106" i="8"/>
  <c r="H170" i="8"/>
  <c r="G64" i="8"/>
  <c r="G72" i="8"/>
  <c r="AJ66" i="8"/>
  <c r="AK66" i="8" s="1"/>
  <c r="AL113" i="8"/>
  <c r="AJ113" i="8"/>
  <c r="AK113" i="8" s="1"/>
  <c r="AJ89" i="8"/>
  <c r="AK89" i="8" s="1"/>
  <c r="AE90" i="8"/>
  <c r="AI90" i="8" s="1"/>
  <c r="AL137" i="8"/>
  <c r="AE163" i="8"/>
  <c r="AI163" i="8" s="1"/>
  <c r="AJ163" i="8" s="1"/>
  <c r="AK163" i="8" s="1"/>
  <c r="AE67" i="8"/>
  <c r="AI67" i="8" s="1"/>
  <c r="AL67" i="8" s="1"/>
  <c r="AE138" i="8"/>
  <c r="AI138" i="8" s="1"/>
  <c r="Q114" i="8"/>
  <c r="R114" i="8"/>
  <c r="AE114" i="8"/>
  <c r="AI114" i="8" s="1"/>
  <c r="AJ162" i="8"/>
  <c r="AK162" i="8" s="1"/>
  <c r="AL162" i="8"/>
  <c r="AG68" i="8"/>
  <c r="AH68" i="8" s="1"/>
  <c r="AD68" i="8"/>
  <c r="AC68" i="8"/>
  <c r="AC91" i="8"/>
  <c r="AG91" i="8"/>
  <c r="AH91" i="8" s="1"/>
  <c r="AD91" i="8"/>
  <c r="AG139" i="8"/>
  <c r="AH139" i="8" s="1"/>
  <c r="AC139" i="8"/>
  <c r="AD139" i="8"/>
  <c r="AG164" i="8"/>
  <c r="AH164" i="8" s="1"/>
  <c r="AC164" i="8"/>
  <c r="AD164" i="8"/>
  <c r="Q67" i="8"/>
  <c r="R67" i="8"/>
  <c r="Q138" i="8"/>
  <c r="R138" i="8"/>
  <c r="AD115" i="8"/>
  <c r="AC115" i="8"/>
  <c r="AG115" i="8"/>
  <c r="AH115" i="8" s="1"/>
  <c r="R163" i="8"/>
  <c r="Q163" i="8"/>
  <c r="R90" i="8"/>
  <c r="Q90" i="8"/>
  <c r="E164" i="8"/>
  <c r="E91" i="8"/>
  <c r="E139" i="8"/>
  <c r="E115" i="8"/>
  <c r="E68" i="8"/>
  <c r="B141" i="8"/>
  <c r="C116" i="8"/>
  <c r="D116" i="8" s="1"/>
  <c r="B165" i="8"/>
  <c r="C165" i="8" s="1"/>
  <c r="D165" i="8" s="1"/>
  <c r="C140" i="8"/>
  <c r="D140" i="8" s="1"/>
  <c r="B117" i="8"/>
  <c r="C92" i="8"/>
  <c r="D92" i="8" s="1"/>
  <c r="B93" i="8"/>
  <c r="B69" i="8"/>
  <c r="C69" i="8" s="1"/>
  <c r="D69" i="8" s="1"/>
  <c r="F41" i="1"/>
  <c r="AE91" i="8" l="1"/>
  <c r="AI91" i="8" s="1"/>
  <c r="AE68" i="8"/>
  <c r="AI68" i="8" s="1"/>
  <c r="AJ90" i="8"/>
  <c r="AK90" i="8" s="1"/>
  <c r="AL90" i="8"/>
  <c r="AE164" i="8"/>
  <c r="AI164" i="8" s="1"/>
  <c r="AL163" i="8"/>
  <c r="AE139" i="8"/>
  <c r="AI139" i="8" s="1"/>
  <c r="AE115" i="8"/>
  <c r="AI115" i="8" s="1"/>
  <c r="AJ67" i="8"/>
  <c r="AK67" i="8" s="1"/>
  <c r="Q115" i="8"/>
  <c r="R115" i="8"/>
  <c r="Q68" i="8"/>
  <c r="R68" i="8"/>
  <c r="R91" i="8"/>
  <c r="Q91" i="8"/>
  <c r="AD92" i="8"/>
  <c r="AG92" i="8"/>
  <c r="AH92" i="8" s="1"/>
  <c r="AC92" i="8"/>
  <c r="AC140" i="8"/>
  <c r="AD140" i="8"/>
  <c r="AG140" i="8"/>
  <c r="AH140" i="8" s="1"/>
  <c r="AL114" i="8"/>
  <c r="AJ114" i="8"/>
  <c r="AK114" i="8" s="1"/>
  <c r="AG69" i="8"/>
  <c r="AH69" i="8" s="1"/>
  <c r="AC69" i="8"/>
  <c r="AD69" i="8"/>
  <c r="AD165" i="8"/>
  <c r="AC165" i="8"/>
  <c r="AG165" i="8"/>
  <c r="AH165" i="8" s="1"/>
  <c r="Q139" i="8"/>
  <c r="R139" i="8"/>
  <c r="R164" i="8"/>
  <c r="Q164" i="8"/>
  <c r="AD116" i="8"/>
  <c r="AG116" i="8"/>
  <c r="AH116" i="8" s="1"/>
  <c r="AC116" i="8"/>
  <c r="AL138" i="8"/>
  <c r="AJ138" i="8"/>
  <c r="AK138" i="8" s="1"/>
  <c r="E92" i="8"/>
  <c r="E69" i="8"/>
  <c r="E116" i="8"/>
  <c r="E140" i="8"/>
  <c r="E165" i="8"/>
  <c r="B142" i="8"/>
  <c r="C117" i="8"/>
  <c r="D117" i="8" s="1"/>
  <c r="B118" i="8"/>
  <c r="C93" i="8"/>
  <c r="D93" i="8" s="1"/>
  <c r="B166" i="8"/>
  <c r="C166" i="8" s="1"/>
  <c r="D166" i="8" s="1"/>
  <c r="C141" i="8"/>
  <c r="D141" i="8" s="1"/>
  <c r="B94" i="8"/>
  <c r="B70" i="8"/>
  <c r="C70" i="8" s="1"/>
  <c r="D70" i="8" s="1"/>
  <c r="AL68" i="8" l="1"/>
  <c r="AJ68" i="8"/>
  <c r="AK68" i="8" s="1"/>
  <c r="AE165" i="8"/>
  <c r="AI165" i="8" s="1"/>
  <c r="AE116" i="8"/>
  <c r="AI116" i="8" s="1"/>
  <c r="AE140" i="8"/>
  <c r="AI140" i="8" s="1"/>
  <c r="AE92" i="8"/>
  <c r="AI92" i="8" s="1"/>
  <c r="R165" i="8"/>
  <c r="Q165" i="8"/>
  <c r="R116" i="8"/>
  <c r="Q116" i="8"/>
  <c r="Q140" i="8"/>
  <c r="R140" i="8"/>
  <c r="R69" i="8"/>
  <c r="Q69" i="8"/>
  <c r="AL115" i="8"/>
  <c r="AJ115" i="8"/>
  <c r="AK115" i="8" s="1"/>
  <c r="AL91" i="8"/>
  <c r="AJ91" i="8"/>
  <c r="AK91" i="8" s="1"/>
  <c r="AL139" i="8"/>
  <c r="AJ139" i="8"/>
  <c r="AK139" i="8" s="1"/>
  <c r="R92" i="8"/>
  <c r="Q92" i="8"/>
  <c r="AD141" i="8"/>
  <c r="AG141" i="8"/>
  <c r="AH141" i="8" s="1"/>
  <c r="AC141" i="8"/>
  <c r="AD70" i="8"/>
  <c r="AG70" i="8"/>
  <c r="AH70" i="8" s="1"/>
  <c r="AC70" i="8"/>
  <c r="AC166" i="8"/>
  <c r="AG166" i="8"/>
  <c r="AH166" i="8" s="1"/>
  <c r="AD166" i="8"/>
  <c r="AL164" i="8"/>
  <c r="AJ164" i="8"/>
  <c r="AK164" i="8" s="1"/>
  <c r="AD93" i="8"/>
  <c r="AG93" i="8"/>
  <c r="AH93" i="8" s="1"/>
  <c r="AC93" i="8"/>
  <c r="AD117" i="8"/>
  <c r="AG117" i="8"/>
  <c r="AH117" i="8" s="1"/>
  <c r="AC117" i="8"/>
  <c r="AE69" i="8"/>
  <c r="AI69" i="8" s="1"/>
  <c r="E70" i="8"/>
  <c r="E166" i="8"/>
  <c r="E117" i="8"/>
  <c r="E141" i="8"/>
  <c r="E93" i="8"/>
  <c r="B143" i="8"/>
  <c r="C118" i="8"/>
  <c r="D118" i="8" s="1"/>
  <c r="B167" i="8"/>
  <c r="C167" i="8" s="1"/>
  <c r="D167" i="8" s="1"/>
  <c r="C142" i="8"/>
  <c r="D142" i="8" s="1"/>
  <c r="B119" i="8"/>
  <c r="C94" i="8"/>
  <c r="D94" i="8" s="1"/>
  <c r="B95" i="8"/>
  <c r="B71" i="8"/>
  <c r="C71" i="8" s="1"/>
  <c r="D71" i="8" s="1"/>
  <c r="AE141" i="8" l="1"/>
  <c r="AI141" i="8" s="1"/>
  <c r="AL141" i="8" s="1"/>
  <c r="AJ92" i="8"/>
  <c r="AK92" i="8" s="1"/>
  <c r="AL92" i="8"/>
  <c r="AJ140" i="8"/>
  <c r="AK140" i="8" s="1"/>
  <c r="AL140" i="8"/>
  <c r="AL116" i="8"/>
  <c r="AJ116" i="8"/>
  <c r="AK116" i="8" s="1"/>
  <c r="AJ165" i="8"/>
  <c r="AK165" i="8" s="1"/>
  <c r="AL165" i="8"/>
  <c r="AE93" i="8"/>
  <c r="AI93" i="8" s="1"/>
  <c r="AL93" i="8" s="1"/>
  <c r="AE70" i="8"/>
  <c r="AI70" i="8" s="1"/>
  <c r="AL70" i="8" s="1"/>
  <c r="AE166" i="8"/>
  <c r="AI166" i="8" s="1"/>
  <c r="AJ166" i="8" s="1"/>
  <c r="AK166" i="8" s="1"/>
  <c r="AC71" i="8"/>
  <c r="AG71" i="8"/>
  <c r="AH71" i="8" s="1"/>
  <c r="AD71" i="8"/>
  <c r="AG118" i="8"/>
  <c r="AH118" i="8" s="1"/>
  <c r="AC118" i="8"/>
  <c r="AD118" i="8"/>
  <c r="Q141" i="8"/>
  <c r="R141" i="8"/>
  <c r="AG142" i="8"/>
  <c r="AH142" i="8" s="1"/>
  <c r="AC142" i="8"/>
  <c r="AD142" i="8"/>
  <c r="Q93" i="8"/>
  <c r="R93" i="8"/>
  <c r="R117" i="8"/>
  <c r="Q117" i="8"/>
  <c r="AD94" i="8"/>
  <c r="AG94" i="8"/>
  <c r="AH94" i="8" s="1"/>
  <c r="AC94" i="8"/>
  <c r="AG167" i="8"/>
  <c r="AH167" i="8" s="1"/>
  <c r="AD167" i="8"/>
  <c r="AC167" i="8"/>
  <c r="Q166" i="8"/>
  <c r="R166" i="8"/>
  <c r="R70" i="8"/>
  <c r="Q70" i="8"/>
  <c r="AJ69" i="8"/>
  <c r="AK69" i="8" s="1"/>
  <c r="AL69" i="8"/>
  <c r="AE117" i="8"/>
  <c r="AI117" i="8" s="1"/>
  <c r="E167" i="8"/>
  <c r="E118" i="8"/>
  <c r="E94" i="8"/>
  <c r="E142" i="8"/>
  <c r="E71" i="8"/>
  <c r="B144" i="8"/>
  <c r="C119" i="8"/>
  <c r="D119" i="8" s="1"/>
  <c r="B168" i="8"/>
  <c r="C168" i="8" s="1"/>
  <c r="D168" i="8" s="1"/>
  <c r="C143" i="8"/>
  <c r="D143" i="8" s="1"/>
  <c r="B120" i="8"/>
  <c r="C95" i="8"/>
  <c r="D95" i="8" s="1"/>
  <c r="B96" i="8"/>
  <c r="B72" i="8"/>
  <c r="C72" i="8" s="1"/>
  <c r="D72" i="8" s="1"/>
  <c r="AE71" i="8" l="1"/>
  <c r="AI71" i="8" s="1"/>
  <c r="AJ141" i="8"/>
  <c r="AK141" i="8" s="1"/>
  <c r="AJ93" i="8"/>
  <c r="AK93" i="8" s="1"/>
  <c r="AL166" i="8"/>
  <c r="AJ70" i="8"/>
  <c r="AK70" i="8" s="1"/>
  <c r="AL117" i="8"/>
  <c r="AJ117" i="8"/>
  <c r="AK117" i="8" s="1"/>
  <c r="AC72" i="8"/>
  <c r="AD72" i="8"/>
  <c r="AG72" i="8"/>
  <c r="AH72" i="8" s="1"/>
  <c r="Q167" i="8"/>
  <c r="R167" i="8"/>
  <c r="AE142" i="8"/>
  <c r="AI142" i="8" s="1"/>
  <c r="AC95" i="8"/>
  <c r="AG95" i="8"/>
  <c r="AH95" i="8" s="1"/>
  <c r="AD95" i="8"/>
  <c r="AD143" i="8"/>
  <c r="AG143" i="8"/>
  <c r="AH143" i="8" s="1"/>
  <c r="AC143" i="8"/>
  <c r="AE167" i="8"/>
  <c r="AI167" i="8" s="1"/>
  <c r="AE118" i="8"/>
  <c r="AI118" i="8" s="1"/>
  <c r="Q118" i="8"/>
  <c r="R118" i="8"/>
  <c r="AC119" i="8"/>
  <c r="AD119" i="8"/>
  <c r="AG119" i="8"/>
  <c r="AH119" i="8" s="1"/>
  <c r="AD168" i="8"/>
  <c r="AC168" i="8"/>
  <c r="AG168" i="8"/>
  <c r="AH168" i="8" s="1"/>
  <c r="R142" i="8"/>
  <c r="Q142" i="8"/>
  <c r="AE94" i="8"/>
  <c r="AI94" i="8" s="1"/>
  <c r="R71" i="8"/>
  <c r="Q71" i="8"/>
  <c r="Q94" i="8"/>
  <c r="R94" i="8"/>
  <c r="E143" i="8"/>
  <c r="E119" i="8"/>
  <c r="E95" i="8"/>
  <c r="E72" i="8"/>
  <c r="E168" i="8"/>
  <c r="B169" i="8"/>
  <c r="C169" i="8" s="1"/>
  <c r="D169" i="8" s="1"/>
  <c r="C144" i="8"/>
  <c r="D144" i="8" s="1"/>
  <c r="B121" i="8"/>
  <c r="C96" i="8"/>
  <c r="D96" i="8" s="1"/>
  <c r="B145" i="8"/>
  <c r="C120" i="8"/>
  <c r="D120" i="8" s="1"/>
  <c r="B73" i="8"/>
  <c r="C73" i="8" s="1"/>
  <c r="D73" i="8" s="1"/>
  <c r="B97" i="8"/>
  <c r="AE72" i="8" l="1"/>
  <c r="AI72" i="8" s="1"/>
  <c r="AE143" i="8"/>
  <c r="AI143" i="8" s="1"/>
  <c r="AE168" i="8"/>
  <c r="AI168" i="8" s="1"/>
  <c r="AJ94" i="8"/>
  <c r="AK94" i="8" s="1"/>
  <c r="AL94" i="8"/>
  <c r="AD169" i="8"/>
  <c r="AG169" i="8"/>
  <c r="AH169" i="8" s="1"/>
  <c r="AC169" i="8"/>
  <c r="AL118" i="8"/>
  <c r="AJ118" i="8"/>
  <c r="AK118" i="8" s="1"/>
  <c r="AJ167" i="8"/>
  <c r="AK167" i="8" s="1"/>
  <c r="AL167" i="8"/>
  <c r="Q168" i="8"/>
  <c r="R168" i="8"/>
  <c r="R143" i="8"/>
  <c r="Q143" i="8"/>
  <c r="AE119" i="8"/>
  <c r="AI119" i="8" s="1"/>
  <c r="AE95" i="8"/>
  <c r="AI95" i="8" s="1"/>
  <c r="AL142" i="8"/>
  <c r="AJ142" i="8"/>
  <c r="AK142" i="8" s="1"/>
  <c r="AG144" i="8"/>
  <c r="AH144" i="8" s="1"/>
  <c r="AD144" i="8"/>
  <c r="AC144" i="8"/>
  <c r="Q119" i="8"/>
  <c r="R119" i="8"/>
  <c r="R95" i="8"/>
  <c r="Q95" i="8"/>
  <c r="AD120" i="8"/>
  <c r="AC120" i="8"/>
  <c r="AG120" i="8"/>
  <c r="AH120" i="8" s="1"/>
  <c r="AD96" i="8"/>
  <c r="AG96" i="8"/>
  <c r="AH96" i="8" s="1"/>
  <c r="AC96" i="8"/>
  <c r="AL71" i="8"/>
  <c r="AJ71" i="8"/>
  <c r="AK71" i="8" s="1"/>
  <c r="R72" i="8"/>
  <c r="Q72" i="8"/>
  <c r="AD73" i="8"/>
  <c r="AG73" i="8"/>
  <c r="AH73" i="8" s="1"/>
  <c r="AC73" i="8"/>
  <c r="E96" i="8"/>
  <c r="E144" i="8"/>
  <c r="E169" i="8"/>
  <c r="E120" i="8"/>
  <c r="E73" i="8"/>
  <c r="B170" i="8"/>
  <c r="C170" i="8" s="1"/>
  <c r="D170" i="8" s="1"/>
  <c r="C145" i="8"/>
  <c r="D145" i="8" s="1"/>
  <c r="B122" i="8"/>
  <c r="C97" i="8"/>
  <c r="D97" i="8" s="1"/>
  <c r="B146" i="8"/>
  <c r="C121" i="8"/>
  <c r="D121" i="8" s="1"/>
  <c r="B74" i="8"/>
  <c r="C74" i="8" s="1"/>
  <c r="D74" i="8" s="1"/>
  <c r="B98" i="8"/>
  <c r="AE169" i="8" l="1"/>
  <c r="AI169" i="8" s="1"/>
  <c r="AL169" i="8" s="1"/>
  <c r="AL143" i="8"/>
  <c r="AJ143" i="8"/>
  <c r="AK143" i="8" s="1"/>
  <c r="AE96" i="8"/>
  <c r="AI96" i="8" s="1"/>
  <c r="AE120" i="8"/>
  <c r="AI120" i="8" s="1"/>
  <c r="AE144" i="8"/>
  <c r="AI144" i="8" s="1"/>
  <c r="AL119" i="8"/>
  <c r="AJ119" i="8"/>
  <c r="AK119" i="8" s="1"/>
  <c r="AJ95" i="8"/>
  <c r="AK95" i="8" s="1"/>
  <c r="AL95" i="8"/>
  <c r="AC145" i="8"/>
  <c r="AG145" i="8"/>
  <c r="AH145" i="8" s="1"/>
  <c r="AD145" i="8"/>
  <c r="AD74" i="8"/>
  <c r="AG74" i="8"/>
  <c r="AH74" i="8" s="1"/>
  <c r="AC74" i="8"/>
  <c r="AD121" i="8"/>
  <c r="AC121" i="8"/>
  <c r="AG121" i="8"/>
  <c r="AH121" i="8" s="1"/>
  <c r="AL168" i="8"/>
  <c r="AJ168" i="8"/>
  <c r="AK168" i="8" s="1"/>
  <c r="AD97" i="8"/>
  <c r="AG97" i="8"/>
  <c r="AH97" i="8" s="1"/>
  <c r="AC97" i="8"/>
  <c r="AC170" i="8"/>
  <c r="AD170" i="8"/>
  <c r="AG170" i="8"/>
  <c r="AH170" i="8" s="1"/>
  <c r="R73" i="8"/>
  <c r="Q73" i="8"/>
  <c r="R120" i="8"/>
  <c r="Q120" i="8"/>
  <c r="R169" i="8"/>
  <c r="Q169" i="8"/>
  <c r="AJ72" i="8"/>
  <c r="AK72" i="8" s="1"/>
  <c r="AL72" i="8"/>
  <c r="R144" i="8"/>
  <c r="Q144" i="8"/>
  <c r="R96" i="8"/>
  <c r="Q96" i="8"/>
  <c r="AE73" i="8"/>
  <c r="AI73" i="8" s="1"/>
  <c r="E74" i="8"/>
  <c r="E121" i="8"/>
  <c r="E97" i="8"/>
  <c r="E145" i="8"/>
  <c r="E170" i="8"/>
  <c r="B123" i="8"/>
  <c r="C98" i="8"/>
  <c r="D98" i="8" s="1"/>
  <c r="B147" i="8"/>
  <c r="C122" i="8"/>
  <c r="D122" i="8" s="1"/>
  <c r="B171" i="8"/>
  <c r="C171" i="8" s="1"/>
  <c r="D171" i="8" s="1"/>
  <c r="C146" i="8"/>
  <c r="D146" i="8" s="1"/>
  <c r="B75" i="8"/>
  <c r="C75" i="8" s="1"/>
  <c r="D75" i="8" s="1"/>
  <c r="B99" i="8"/>
  <c r="AE74" i="8" l="1"/>
  <c r="AI74" i="8" s="1"/>
  <c r="AJ74" i="8" s="1"/>
  <c r="AK74" i="8" s="1"/>
  <c r="AJ169" i="8"/>
  <c r="AK169" i="8" s="1"/>
  <c r="AJ120" i="8"/>
  <c r="AK120" i="8" s="1"/>
  <c r="AL120" i="8"/>
  <c r="AJ96" i="8"/>
  <c r="AK96" i="8" s="1"/>
  <c r="AL96" i="8"/>
  <c r="AE121" i="8"/>
  <c r="AI121" i="8" s="1"/>
  <c r="AE170" i="8"/>
  <c r="AI170" i="8" s="1"/>
  <c r="AL144" i="8"/>
  <c r="AJ144" i="8"/>
  <c r="AK144" i="8" s="1"/>
  <c r="AC171" i="8"/>
  <c r="AD171" i="8"/>
  <c r="AG171" i="8"/>
  <c r="AH171" i="8" s="1"/>
  <c r="AD122" i="8"/>
  <c r="AG122" i="8"/>
  <c r="AH122" i="8" s="1"/>
  <c r="AC122" i="8"/>
  <c r="AE145" i="8"/>
  <c r="AI145" i="8" s="1"/>
  <c r="AD146" i="8"/>
  <c r="AG146" i="8"/>
  <c r="AH146" i="8" s="1"/>
  <c r="AC146" i="8"/>
  <c r="R170" i="8"/>
  <c r="Q170" i="8"/>
  <c r="Q145" i="8"/>
  <c r="R145" i="8"/>
  <c r="R97" i="8"/>
  <c r="Q97" i="8"/>
  <c r="AD75" i="8"/>
  <c r="AC75" i="8"/>
  <c r="AG75" i="8"/>
  <c r="AH75" i="8" s="1"/>
  <c r="AG98" i="8"/>
  <c r="AH98" i="8" s="1"/>
  <c r="AD98" i="8"/>
  <c r="AC98" i="8"/>
  <c r="R121" i="8"/>
  <c r="Q121" i="8"/>
  <c r="Q74" i="8"/>
  <c r="R74" i="8"/>
  <c r="AE97" i="8"/>
  <c r="AI97" i="8" s="1"/>
  <c r="AL73" i="8"/>
  <c r="AJ73" i="8"/>
  <c r="AK73" i="8" s="1"/>
  <c r="E146" i="8"/>
  <c r="E98" i="8"/>
  <c r="E171" i="8"/>
  <c r="E122" i="8"/>
  <c r="E75" i="8"/>
  <c r="B172" i="8"/>
  <c r="C172" i="8" s="1"/>
  <c r="D172" i="8" s="1"/>
  <c r="C147" i="8"/>
  <c r="D147" i="8" s="1"/>
  <c r="B124" i="8"/>
  <c r="C99" i="8"/>
  <c r="D99" i="8" s="1"/>
  <c r="B148" i="8"/>
  <c r="C123" i="8"/>
  <c r="D123" i="8" s="1"/>
  <c r="B76" i="8"/>
  <c r="C76" i="8" s="1"/>
  <c r="D76" i="8" s="1"/>
  <c r="B100" i="8"/>
  <c r="AE122" i="8" l="1"/>
  <c r="AI122" i="8" s="1"/>
  <c r="AE146" i="8"/>
  <c r="AI146" i="8" s="1"/>
  <c r="AJ121" i="8"/>
  <c r="AK121" i="8" s="1"/>
  <c r="AL121" i="8"/>
  <c r="AL74" i="8"/>
  <c r="AE75" i="8"/>
  <c r="AI75" i="8" s="1"/>
  <c r="AJ170" i="8"/>
  <c r="AK170" i="8" s="1"/>
  <c r="AL170" i="8"/>
  <c r="AE98" i="8"/>
  <c r="AI98" i="8" s="1"/>
  <c r="AL98" i="8" s="1"/>
  <c r="R171" i="8"/>
  <c r="Q171" i="8"/>
  <c r="AL97" i="8"/>
  <c r="AJ97" i="8"/>
  <c r="AK97" i="8" s="1"/>
  <c r="Q146" i="8"/>
  <c r="R146" i="8"/>
  <c r="AE171" i="8"/>
  <c r="AI171" i="8" s="1"/>
  <c r="AG123" i="8"/>
  <c r="AH123" i="8" s="1"/>
  <c r="AC123" i="8"/>
  <c r="AD123" i="8"/>
  <c r="AD147" i="8"/>
  <c r="AC147" i="8"/>
  <c r="AG147" i="8"/>
  <c r="AH147" i="8" s="1"/>
  <c r="AJ145" i="8"/>
  <c r="AK145" i="8" s="1"/>
  <c r="AL145" i="8"/>
  <c r="AG76" i="8"/>
  <c r="AH76" i="8" s="1"/>
  <c r="AC76" i="8"/>
  <c r="AD76" i="8"/>
  <c r="AG99" i="8"/>
  <c r="AH99" i="8" s="1"/>
  <c r="AD99" i="8"/>
  <c r="AC99" i="8"/>
  <c r="AG172" i="8"/>
  <c r="AH172" i="8" s="1"/>
  <c r="AC172" i="8"/>
  <c r="AD172" i="8"/>
  <c r="Q75" i="8"/>
  <c r="R75" i="8"/>
  <c r="Q98" i="8"/>
  <c r="R98" i="8"/>
  <c r="Q122" i="8"/>
  <c r="R122" i="8"/>
  <c r="E147" i="8"/>
  <c r="E123" i="8"/>
  <c r="E99" i="8"/>
  <c r="E76" i="8"/>
  <c r="E172" i="8"/>
  <c r="B125" i="8"/>
  <c r="C100" i="8"/>
  <c r="D100" i="8" s="1"/>
  <c r="B149" i="8"/>
  <c r="C124" i="8"/>
  <c r="D124" i="8" s="1"/>
  <c r="B173" i="8"/>
  <c r="C173" i="8" s="1"/>
  <c r="D173" i="8" s="1"/>
  <c r="C148" i="8"/>
  <c r="D148" i="8" s="1"/>
  <c r="B77" i="8"/>
  <c r="B101" i="8"/>
  <c r="AE172" i="8" l="1"/>
  <c r="AI172" i="8" s="1"/>
  <c r="AL146" i="8"/>
  <c r="AJ146" i="8"/>
  <c r="AK146" i="8" s="1"/>
  <c r="AL122" i="8"/>
  <c r="AJ122" i="8"/>
  <c r="AK122" i="8" s="1"/>
  <c r="AL75" i="8"/>
  <c r="AJ75" i="8"/>
  <c r="AK75" i="8" s="1"/>
  <c r="AE99" i="8"/>
  <c r="AI99" i="8" s="1"/>
  <c r="AJ98" i="8"/>
  <c r="AK98" i="8" s="1"/>
  <c r="AE123" i="8"/>
  <c r="AI123" i="8" s="1"/>
  <c r="AL123" i="8" s="1"/>
  <c r="AE76" i="8"/>
  <c r="AI76" i="8" s="1"/>
  <c r="AE147" i="8"/>
  <c r="AI147" i="8" s="1"/>
  <c r="AL147" i="8" s="1"/>
  <c r="R123" i="8"/>
  <c r="Q123" i="8"/>
  <c r="AJ171" i="8"/>
  <c r="AK171" i="8" s="1"/>
  <c r="AL171" i="8"/>
  <c r="AD173" i="8"/>
  <c r="AC173" i="8"/>
  <c r="AG173" i="8"/>
  <c r="AH173" i="8" s="1"/>
  <c r="Q147" i="8"/>
  <c r="R147" i="8"/>
  <c r="AC124" i="8"/>
  <c r="AG124" i="8"/>
  <c r="AH124" i="8" s="1"/>
  <c r="AD124" i="8"/>
  <c r="Q172" i="8"/>
  <c r="R172" i="8"/>
  <c r="AG148" i="8"/>
  <c r="AH148" i="8" s="1"/>
  <c r="AD148" i="8"/>
  <c r="AC148" i="8"/>
  <c r="AC100" i="8"/>
  <c r="AG100" i="8"/>
  <c r="AH100" i="8" s="1"/>
  <c r="AD100" i="8"/>
  <c r="R76" i="8"/>
  <c r="Q76" i="8"/>
  <c r="R99" i="8"/>
  <c r="Q99" i="8"/>
  <c r="E124" i="8"/>
  <c r="E100" i="8"/>
  <c r="E148" i="8"/>
  <c r="E173" i="8"/>
  <c r="B174" i="8"/>
  <c r="C174" i="8" s="1"/>
  <c r="D174" i="8" s="1"/>
  <c r="C149" i="8"/>
  <c r="D149" i="8" s="1"/>
  <c r="B126" i="8"/>
  <c r="C101" i="8"/>
  <c r="D101" i="8" s="1"/>
  <c r="B150" i="8"/>
  <c r="C125" i="8"/>
  <c r="D125" i="8" s="1"/>
  <c r="B102" i="8"/>
  <c r="C77" i="8"/>
  <c r="D77" i="8" s="1"/>
  <c r="F39" i="1"/>
  <c r="AE173" i="8" l="1"/>
  <c r="AI173" i="8" s="1"/>
  <c r="AL99" i="8"/>
  <c r="AJ99" i="8"/>
  <c r="AK99" i="8" s="1"/>
  <c r="AJ123" i="8"/>
  <c r="AK123" i="8" s="1"/>
  <c r="AE148" i="8"/>
  <c r="AI148" i="8" s="1"/>
  <c r="AL148" i="8" s="1"/>
  <c r="AJ147" i="8"/>
  <c r="AK147" i="8" s="1"/>
  <c r="AE100" i="8"/>
  <c r="AI100" i="8" s="1"/>
  <c r="AJ100" i="8" s="1"/>
  <c r="AK100" i="8" s="1"/>
  <c r="AD174" i="8"/>
  <c r="AG174" i="8"/>
  <c r="AH174" i="8" s="1"/>
  <c r="AC174" i="8"/>
  <c r="AL76" i="8"/>
  <c r="AJ76" i="8"/>
  <c r="AK76" i="8" s="1"/>
  <c r="AC149" i="8"/>
  <c r="AG149" i="8"/>
  <c r="AH149" i="8" s="1"/>
  <c r="AD149" i="8"/>
  <c r="Q100" i="8"/>
  <c r="R100" i="8"/>
  <c r="AJ172" i="8"/>
  <c r="AK172" i="8" s="1"/>
  <c r="AL172" i="8"/>
  <c r="AC77" i="8"/>
  <c r="AG77" i="8"/>
  <c r="AH77" i="8" s="1"/>
  <c r="AD77" i="8"/>
  <c r="AE124" i="8"/>
  <c r="AI124" i="8" s="1"/>
  <c r="Q148" i="8"/>
  <c r="R148" i="8"/>
  <c r="R124" i="8"/>
  <c r="Q124" i="8"/>
  <c r="AD125" i="8"/>
  <c r="AG125" i="8"/>
  <c r="AH125" i="8" s="1"/>
  <c r="AC125" i="8"/>
  <c r="AC101" i="8"/>
  <c r="AD101" i="8"/>
  <c r="AG101" i="8"/>
  <c r="AH101" i="8" s="1"/>
  <c r="R173" i="8"/>
  <c r="Q173" i="8"/>
  <c r="E77" i="8"/>
  <c r="E125" i="8"/>
  <c r="E174" i="8"/>
  <c r="E101" i="8"/>
  <c r="E149" i="8"/>
  <c r="B151" i="8"/>
  <c r="C126" i="8"/>
  <c r="D126" i="8" s="1"/>
  <c r="B127" i="8"/>
  <c r="C102" i="8"/>
  <c r="D102" i="8" s="1"/>
  <c r="B175" i="8"/>
  <c r="C175" i="8" s="1"/>
  <c r="D175" i="8" s="1"/>
  <c r="C150" i="8"/>
  <c r="D150" i="8" s="1"/>
  <c r="R21" i="2"/>
  <c r="R25" i="2"/>
  <c r="R10" i="2"/>
  <c r="F31" i="1"/>
  <c r="F124" i="1" s="1"/>
  <c r="R20" i="2"/>
  <c r="C199" i="8" l="1"/>
  <c r="D199" i="8" s="1"/>
  <c r="E199" i="8" s="1"/>
  <c r="AE174" i="8"/>
  <c r="AI174" i="8" s="1"/>
  <c r="AJ174" i="8" s="1"/>
  <c r="AK174" i="8" s="1"/>
  <c r="AE149" i="8"/>
  <c r="AI149" i="8" s="1"/>
  <c r="AL173" i="8"/>
  <c r="AJ173" i="8"/>
  <c r="AK173" i="8" s="1"/>
  <c r="AJ148" i="8"/>
  <c r="AK148" i="8" s="1"/>
  <c r="AL100" i="8"/>
  <c r="R149" i="8"/>
  <c r="Q149" i="8"/>
  <c r="Q174" i="8"/>
  <c r="R174" i="8"/>
  <c r="R101" i="8"/>
  <c r="Q101" i="8"/>
  <c r="AE101" i="8"/>
  <c r="AI101" i="8" s="1"/>
  <c r="AE125" i="8"/>
  <c r="AI125" i="8" s="1"/>
  <c r="R125" i="8"/>
  <c r="Q125" i="8"/>
  <c r="AG150" i="8"/>
  <c r="AH150" i="8" s="1"/>
  <c r="AC150" i="8"/>
  <c r="AD150" i="8"/>
  <c r="R77" i="8"/>
  <c r="Q77" i="8"/>
  <c r="AC175" i="8"/>
  <c r="AG175" i="8"/>
  <c r="AH175" i="8" s="1"/>
  <c r="AD175" i="8"/>
  <c r="AC102" i="8"/>
  <c r="AG102" i="8"/>
  <c r="AH102" i="8" s="1"/>
  <c r="AD102" i="8"/>
  <c r="AJ124" i="8"/>
  <c r="AK124" i="8" s="1"/>
  <c r="AL124" i="8"/>
  <c r="AC126" i="8"/>
  <c r="AD126" i="8"/>
  <c r="AG126" i="8"/>
  <c r="AH126" i="8" s="1"/>
  <c r="AE77" i="8"/>
  <c r="AI77" i="8" s="1"/>
  <c r="F33" i="1" a="1"/>
  <c r="F33" i="1" s="1"/>
  <c r="E126" i="8"/>
  <c r="E150" i="8"/>
  <c r="E175" i="8"/>
  <c r="E102" i="8"/>
  <c r="B176" i="8"/>
  <c r="C176" i="8" s="1"/>
  <c r="D176" i="8" s="1"/>
  <c r="C151" i="8"/>
  <c r="D151" i="8" s="1"/>
  <c r="B152" i="8"/>
  <c r="C127" i="8"/>
  <c r="D127" i="8" s="1"/>
  <c r="F85" i="1"/>
  <c r="F36" i="1" a="1"/>
  <c r="F36" i="1" s="1"/>
  <c r="R13" i="2"/>
  <c r="R12" i="2" s="1" a="1"/>
  <c r="R12" i="2" s="1"/>
  <c r="M199" i="8" l="1"/>
  <c r="G199" i="8"/>
  <c r="AL174" i="8"/>
  <c r="AE175" i="8"/>
  <c r="AI175" i="8" s="1"/>
  <c r="AL77" i="8"/>
  <c r="AJ77" i="8"/>
  <c r="AK77" i="8" s="1"/>
  <c r="AE150" i="8"/>
  <c r="AI150" i="8" s="1"/>
  <c r="AL149" i="8"/>
  <c r="AJ149" i="8"/>
  <c r="AK149" i="8" s="1"/>
  <c r="AL125" i="8"/>
  <c r="AJ125" i="8"/>
  <c r="AK125" i="8" s="1"/>
  <c r="AL101" i="8"/>
  <c r="AJ101" i="8"/>
  <c r="AK101" i="8" s="1"/>
  <c r="AE126" i="8"/>
  <c r="AI126" i="8" s="1"/>
  <c r="R102" i="8"/>
  <c r="Q102" i="8"/>
  <c r="AD127" i="8"/>
  <c r="AG127" i="8"/>
  <c r="AH127" i="8" s="1"/>
  <c r="AC127" i="8"/>
  <c r="AD176" i="8"/>
  <c r="AC176" i="8"/>
  <c r="AG176" i="8"/>
  <c r="AH176" i="8" s="1"/>
  <c r="R150" i="8"/>
  <c r="Q150" i="8"/>
  <c r="AE102" i="8"/>
  <c r="AI102" i="8" s="1"/>
  <c r="AG151" i="8"/>
  <c r="AH151" i="8" s="1"/>
  <c r="AD151" i="8"/>
  <c r="AC151" i="8"/>
  <c r="Q175" i="8"/>
  <c r="R175" i="8"/>
  <c r="R126" i="8"/>
  <c r="Q126" i="8"/>
  <c r="C34" i="8"/>
  <c r="S115" i="8"/>
  <c r="T115" i="8" s="1"/>
  <c r="S132" i="8"/>
  <c r="T132" i="8" s="1"/>
  <c r="S91" i="8"/>
  <c r="T91" i="8" s="1"/>
  <c r="S82" i="8"/>
  <c r="T82" i="8" s="1"/>
  <c r="S171" i="8"/>
  <c r="T171" i="8" s="1"/>
  <c r="S140" i="8"/>
  <c r="T140" i="8" s="1"/>
  <c r="S89" i="8"/>
  <c r="T89" i="8" s="1"/>
  <c r="S156" i="8"/>
  <c r="T156" i="8" s="1"/>
  <c r="S93" i="8"/>
  <c r="T93" i="8" s="1"/>
  <c r="S56" i="8"/>
  <c r="T56" i="8" s="1"/>
  <c r="S160" i="8"/>
  <c r="T160" i="8" s="1"/>
  <c r="N178" i="8"/>
  <c r="O178" i="8" s="1"/>
  <c r="C26" i="8"/>
  <c r="E127" i="8"/>
  <c r="E151" i="8"/>
  <c r="E176" i="8"/>
  <c r="B177" i="8"/>
  <c r="C177" i="8" s="1"/>
  <c r="D177" i="8" s="1"/>
  <c r="C152" i="8"/>
  <c r="D152" i="8" s="1"/>
  <c r="K59" i="8"/>
  <c r="K77" i="8"/>
  <c r="K58" i="8"/>
  <c r="R17" i="2" a="1"/>
  <c r="R17" i="2" s="1"/>
  <c r="R14" i="2" a="1"/>
  <c r="R14" i="2" s="1"/>
  <c r="J21" i="7" l="1"/>
  <c r="J22" i="7" s="1"/>
  <c r="C21" i="7"/>
  <c r="C27" i="8"/>
  <c r="K37" i="8"/>
  <c r="G84" i="1" s="1"/>
  <c r="I199" i="8"/>
  <c r="K199" i="8" s="1"/>
  <c r="O199" i="8"/>
  <c r="Q199" i="8" s="1"/>
  <c r="S175" i="8"/>
  <c r="T175" i="8" s="1"/>
  <c r="AE127" i="8"/>
  <c r="AI127" i="8" s="1"/>
  <c r="AJ127" i="8" s="1"/>
  <c r="AK127" i="8" s="1"/>
  <c r="AE151" i="8"/>
  <c r="AI151" i="8" s="1"/>
  <c r="S150" i="8"/>
  <c r="T150" i="8" s="1"/>
  <c r="AE176" i="8"/>
  <c r="AI176" i="8" s="1"/>
  <c r="AC152" i="8"/>
  <c r="AG152" i="8"/>
  <c r="AH152" i="8" s="1"/>
  <c r="AD152" i="8"/>
  <c r="AC177" i="8"/>
  <c r="AG177" i="8"/>
  <c r="AH177" i="8" s="1"/>
  <c r="AD177" i="8"/>
  <c r="R176" i="8"/>
  <c r="Q176" i="8"/>
  <c r="R151" i="8"/>
  <c r="Q151" i="8"/>
  <c r="Q127" i="8"/>
  <c r="R127" i="8"/>
  <c r="AL126" i="8"/>
  <c r="AJ126" i="8"/>
  <c r="AK126" i="8" s="1"/>
  <c r="AL150" i="8"/>
  <c r="AJ150" i="8"/>
  <c r="AK150" i="8" s="1"/>
  <c r="AJ175" i="8"/>
  <c r="AK175" i="8" s="1"/>
  <c r="AL175" i="8"/>
  <c r="AL102" i="8"/>
  <c r="AJ102" i="8"/>
  <c r="AK102" i="8" s="1"/>
  <c r="S129" i="8"/>
  <c r="T129" i="8" s="1"/>
  <c r="S101" i="8"/>
  <c r="T101" i="8" s="1"/>
  <c r="S165" i="8"/>
  <c r="T165" i="8" s="1"/>
  <c r="S70" i="8"/>
  <c r="T70" i="8" s="1"/>
  <c r="S119" i="8"/>
  <c r="T119" i="8" s="1"/>
  <c r="S88" i="8"/>
  <c r="T88" i="8" s="1"/>
  <c r="S114" i="8"/>
  <c r="T114" i="8" s="1"/>
  <c r="S87" i="8"/>
  <c r="T87" i="8" s="1"/>
  <c r="S157" i="8"/>
  <c r="T157" i="8" s="1"/>
  <c r="S111" i="8"/>
  <c r="T111" i="8" s="1"/>
  <c r="S158" i="8"/>
  <c r="T158" i="8" s="1"/>
  <c r="S113" i="8"/>
  <c r="T113" i="8" s="1"/>
  <c r="S112" i="8"/>
  <c r="T112" i="8" s="1"/>
  <c r="S55" i="8"/>
  <c r="T55" i="8" s="1"/>
  <c r="S65" i="8"/>
  <c r="T65" i="8" s="1"/>
  <c r="S51" i="8"/>
  <c r="T51" i="8" s="1"/>
  <c r="S92" i="8"/>
  <c r="T92" i="8" s="1"/>
  <c r="S77" i="8"/>
  <c r="T77" i="8" s="1"/>
  <c r="S107" i="8"/>
  <c r="T107" i="8" s="1"/>
  <c r="S105" i="8"/>
  <c r="T105" i="8" s="1"/>
  <c r="S78" i="8"/>
  <c r="T78" i="8" s="1"/>
  <c r="S83" i="8"/>
  <c r="T83" i="8" s="1"/>
  <c r="S53" i="8"/>
  <c r="T53" i="8" s="1"/>
  <c r="S126" i="8"/>
  <c r="T126" i="8" s="1"/>
  <c r="S133" i="8"/>
  <c r="T133" i="8" s="1"/>
  <c r="S125" i="8"/>
  <c r="T125" i="8" s="1"/>
  <c r="S63" i="8"/>
  <c r="T63" i="8" s="1"/>
  <c r="S73" i="8"/>
  <c r="T73" i="8" s="1"/>
  <c r="S145" i="8"/>
  <c r="T145" i="8" s="1"/>
  <c r="S120" i="8"/>
  <c r="T120" i="8" s="1"/>
  <c r="S102" i="8"/>
  <c r="T102" i="8" s="1"/>
  <c r="S154" i="8"/>
  <c r="T154" i="8" s="1"/>
  <c r="S81" i="8"/>
  <c r="T81" i="8" s="1"/>
  <c r="S166" i="8"/>
  <c r="T166" i="8" s="1"/>
  <c r="S96" i="8"/>
  <c r="T96" i="8" s="1"/>
  <c r="S59" i="8"/>
  <c r="T59" i="8" s="1"/>
  <c r="S148" i="8"/>
  <c r="T148" i="8" s="1"/>
  <c r="S169" i="8"/>
  <c r="T169" i="8" s="1"/>
  <c r="S99" i="8"/>
  <c r="T99" i="8" s="1"/>
  <c r="S57" i="8"/>
  <c r="T57" i="8" s="1"/>
  <c r="S167" i="8"/>
  <c r="T167" i="8" s="1"/>
  <c r="S98" i="8"/>
  <c r="T98" i="8" s="1"/>
  <c r="S85" i="8"/>
  <c r="T85" i="8" s="1"/>
  <c r="S131" i="8"/>
  <c r="T131" i="8" s="1"/>
  <c r="S123" i="8"/>
  <c r="T123" i="8" s="1"/>
  <c r="S136" i="8"/>
  <c r="T136" i="8" s="1"/>
  <c r="S117" i="8"/>
  <c r="T117" i="8" s="1"/>
  <c r="S79" i="8"/>
  <c r="T79" i="8" s="1"/>
  <c r="S95" i="8"/>
  <c r="T95" i="8" s="1"/>
  <c r="S118" i="8"/>
  <c r="T118" i="8" s="1"/>
  <c r="S155" i="8"/>
  <c r="T155" i="8" s="1"/>
  <c r="S103" i="8"/>
  <c r="T103" i="8" s="1"/>
  <c r="S75" i="8"/>
  <c r="T75" i="8" s="1"/>
  <c r="S139" i="8"/>
  <c r="T139" i="8" s="1"/>
  <c r="S60" i="8"/>
  <c r="T60" i="8" s="1"/>
  <c r="S76" i="8"/>
  <c r="T76" i="8" s="1"/>
  <c r="S178" i="8"/>
  <c r="T178" i="8" s="1"/>
  <c r="S104" i="8"/>
  <c r="T104" i="8" s="1"/>
  <c r="S143" i="8"/>
  <c r="T143" i="8" s="1"/>
  <c r="S164" i="8"/>
  <c r="T164" i="8" s="1"/>
  <c r="S58" i="8"/>
  <c r="T58" i="8" s="1"/>
  <c r="S144" i="8"/>
  <c r="T144" i="8" s="1"/>
  <c r="S66" i="8"/>
  <c r="T66" i="8" s="1"/>
  <c r="S147" i="8"/>
  <c r="T147" i="8" s="1"/>
  <c r="S106" i="8"/>
  <c r="T106" i="8" s="1"/>
  <c r="S141" i="8"/>
  <c r="T141" i="8" s="1"/>
  <c r="S168" i="8"/>
  <c r="T168" i="8" s="1"/>
  <c r="S68" i="8"/>
  <c r="T68" i="8" s="1"/>
  <c r="S62" i="8"/>
  <c r="T62" i="8" s="1"/>
  <c r="S50" i="8"/>
  <c r="T50" i="8" s="1"/>
  <c r="S170" i="8"/>
  <c r="T170" i="8" s="1"/>
  <c r="S90" i="8"/>
  <c r="T90" i="8" s="1"/>
  <c r="S72" i="8"/>
  <c r="T72" i="8" s="1"/>
  <c r="S172" i="8"/>
  <c r="T172" i="8" s="1"/>
  <c r="S159" i="8"/>
  <c r="T159" i="8" s="1"/>
  <c r="S64" i="8"/>
  <c r="T64" i="8" s="1"/>
  <c r="S124" i="8"/>
  <c r="T124" i="8" s="1"/>
  <c r="S146" i="8"/>
  <c r="T146" i="8" s="1"/>
  <c r="S69" i="8"/>
  <c r="T69" i="8" s="1"/>
  <c r="S84" i="8"/>
  <c r="T84" i="8" s="1"/>
  <c r="S135" i="8"/>
  <c r="T135" i="8" s="1"/>
  <c r="S149" i="8"/>
  <c r="T149" i="8" s="1"/>
  <c r="S110" i="8"/>
  <c r="T110" i="8" s="1"/>
  <c r="S67" i="8"/>
  <c r="T67" i="8" s="1"/>
  <c r="S94" i="8"/>
  <c r="T94" i="8" s="1"/>
  <c r="S134" i="8"/>
  <c r="T134" i="8" s="1"/>
  <c r="S137" i="8"/>
  <c r="T137" i="8" s="1"/>
  <c r="S80" i="8"/>
  <c r="T80" i="8" s="1"/>
  <c r="S116" i="8"/>
  <c r="T116" i="8" s="1"/>
  <c r="S97" i="8"/>
  <c r="T97" i="8" s="1"/>
  <c r="S163" i="8"/>
  <c r="T163" i="8" s="1"/>
  <c r="S52" i="8"/>
  <c r="T52" i="8" s="1"/>
  <c r="S61" i="8"/>
  <c r="T61" i="8" s="1"/>
  <c r="S161" i="8"/>
  <c r="T161" i="8" s="1"/>
  <c r="S122" i="8"/>
  <c r="T122" i="8" s="1"/>
  <c r="S130" i="8"/>
  <c r="T130" i="8" s="1"/>
  <c r="S54" i="8"/>
  <c r="T54" i="8" s="1"/>
  <c r="S86" i="8"/>
  <c r="T86" i="8" s="1"/>
  <c r="S128" i="8"/>
  <c r="T128" i="8" s="1"/>
  <c r="S108" i="8"/>
  <c r="T108" i="8" s="1"/>
  <c r="S162" i="8"/>
  <c r="T162" i="8" s="1"/>
  <c r="S71" i="8"/>
  <c r="T71" i="8" s="1"/>
  <c r="S142" i="8"/>
  <c r="T142" i="8" s="1"/>
  <c r="S121" i="8"/>
  <c r="T121" i="8" s="1"/>
  <c r="S153" i="8"/>
  <c r="T153" i="8" s="1"/>
  <c r="S109" i="8"/>
  <c r="T109" i="8" s="1"/>
  <c r="S174" i="8"/>
  <c r="T174" i="8" s="1"/>
  <c r="S173" i="8"/>
  <c r="T173" i="8" s="1"/>
  <c r="S138" i="8"/>
  <c r="T138" i="8" s="1"/>
  <c r="S100" i="8"/>
  <c r="T100" i="8" s="1"/>
  <c r="S74" i="8"/>
  <c r="T74" i="8" s="1"/>
  <c r="L102" i="8"/>
  <c r="L159" i="8"/>
  <c r="L83" i="8"/>
  <c r="L106" i="8"/>
  <c r="L128" i="8"/>
  <c r="L141" i="8"/>
  <c r="L135" i="8"/>
  <c r="L94" i="8"/>
  <c r="L115" i="8"/>
  <c r="L122" i="8"/>
  <c r="L155" i="8"/>
  <c r="L92" i="8"/>
  <c r="L118" i="8"/>
  <c r="L88" i="8"/>
  <c r="L139" i="8"/>
  <c r="L57" i="8"/>
  <c r="L168" i="8"/>
  <c r="L125" i="8"/>
  <c r="L123" i="8"/>
  <c r="L166" i="8"/>
  <c r="L136" i="8"/>
  <c r="L147" i="8"/>
  <c r="L149" i="8"/>
  <c r="L172" i="8"/>
  <c r="L78" i="8"/>
  <c r="L84" i="8"/>
  <c r="L81" i="8"/>
  <c r="L113" i="8"/>
  <c r="L163" i="8"/>
  <c r="L144" i="8"/>
  <c r="L86" i="8"/>
  <c r="L87" i="8"/>
  <c r="L153" i="8"/>
  <c r="L111" i="8"/>
  <c r="L170" i="8"/>
  <c r="L174" i="8"/>
  <c r="L165" i="8"/>
  <c r="L160" i="8"/>
  <c r="L126" i="8"/>
  <c r="L116" i="8"/>
  <c r="L101" i="8"/>
  <c r="U12" i="8"/>
  <c r="L178" i="8"/>
  <c r="M178" i="8" s="1"/>
  <c r="L96" i="8"/>
  <c r="L131" i="8"/>
  <c r="L148" i="8"/>
  <c r="L114" i="8"/>
  <c r="L173" i="8"/>
  <c r="L167" i="8"/>
  <c r="L76" i="8"/>
  <c r="L171" i="8"/>
  <c r="L143" i="8"/>
  <c r="L93" i="8"/>
  <c r="L66" i="8"/>
  <c r="L150" i="8"/>
  <c r="L154" i="8"/>
  <c r="L82" i="8"/>
  <c r="L124" i="8"/>
  <c r="L109" i="8"/>
  <c r="L133" i="8"/>
  <c r="L107" i="8"/>
  <c r="L79" i="8"/>
  <c r="L134" i="8"/>
  <c r="L138" i="8"/>
  <c r="L74" i="8"/>
  <c r="L105" i="8"/>
  <c r="L162" i="8"/>
  <c r="L91" i="8"/>
  <c r="L69" i="8"/>
  <c r="L145" i="8"/>
  <c r="L132" i="8"/>
  <c r="L120" i="8"/>
  <c r="N69" i="8"/>
  <c r="O69" i="8" s="1"/>
  <c r="N89" i="8"/>
  <c r="O89" i="8" s="1"/>
  <c r="N109" i="8"/>
  <c r="O109" i="8" s="1"/>
  <c r="N129" i="8"/>
  <c r="O129" i="8" s="1"/>
  <c r="N149" i="8"/>
  <c r="O149" i="8" s="1"/>
  <c r="N169" i="8"/>
  <c r="O169" i="8" s="1"/>
  <c r="N50" i="8"/>
  <c r="O50" i="8" s="1"/>
  <c r="N70" i="8"/>
  <c r="O70" i="8" s="1"/>
  <c r="N90" i="8"/>
  <c r="O90" i="8" s="1"/>
  <c r="N110" i="8"/>
  <c r="O110" i="8" s="1"/>
  <c r="N130" i="8"/>
  <c r="O130" i="8" s="1"/>
  <c r="N150" i="8"/>
  <c r="O150" i="8" s="1"/>
  <c r="N170" i="8"/>
  <c r="O170" i="8" s="1"/>
  <c r="N51" i="8"/>
  <c r="O51" i="8" s="1"/>
  <c r="N71" i="8"/>
  <c r="O71" i="8" s="1"/>
  <c r="N91" i="8"/>
  <c r="O91" i="8" s="1"/>
  <c r="N111" i="8"/>
  <c r="O111" i="8" s="1"/>
  <c r="N131" i="8"/>
  <c r="O131" i="8" s="1"/>
  <c r="N151" i="8"/>
  <c r="O151" i="8" s="1"/>
  <c r="N171" i="8"/>
  <c r="O171" i="8" s="1"/>
  <c r="N53" i="8"/>
  <c r="O53" i="8" s="1"/>
  <c r="N73" i="8"/>
  <c r="O73" i="8" s="1"/>
  <c r="N93" i="8"/>
  <c r="O93" i="8" s="1"/>
  <c r="N113" i="8"/>
  <c r="O113" i="8" s="1"/>
  <c r="N133" i="8"/>
  <c r="O133" i="8" s="1"/>
  <c r="N153" i="8"/>
  <c r="O153" i="8" s="1"/>
  <c r="N173" i="8"/>
  <c r="O173" i="8" s="1"/>
  <c r="N56" i="8"/>
  <c r="O56" i="8" s="1"/>
  <c r="N76" i="8"/>
  <c r="O76" i="8" s="1"/>
  <c r="N96" i="8"/>
  <c r="O96" i="8" s="1"/>
  <c r="N116" i="8"/>
  <c r="O116" i="8" s="1"/>
  <c r="N136" i="8"/>
  <c r="O136" i="8" s="1"/>
  <c r="N156" i="8"/>
  <c r="O156" i="8" s="1"/>
  <c r="N176" i="8"/>
  <c r="O176" i="8" s="1"/>
  <c r="N57" i="8"/>
  <c r="O57" i="8" s="1"/>
  <c r="N77" i="8"/>
  <c r="O77" i="8" s="1"/>
  <c r="N97" i="8"/>
  <c r="O97" i="8" s="1"/>
  <c r="N117" i="8"/>
  <c r="O117" i="8" s="1"/>
  <c r="N137" i="8"/>
  <c r="O137" i="8" s="1"/>
  <c r="N157" i="8"/>
  <c r="O157" i="8" s="1"/>
  <c r="N138" i="8"/>
  <c r="O138" i="8" s="1"/>
  <c r="N119" i="8"/>
  <c r="O119" i="8" s="1"/>
  <c r="N58" i="8"/>
  <c r="O58" i="8" s="1"/>
  <c r="N78" i="8"/>
  <c r="O78" i="8" s="1"/>
  <c r="N98" i="8"/>
  <c r="O98" i="8" s="1"/>
  <c r="N118" i="8"/>
  <c r="O118" i="8" s="1"/>
  <c r="N158" i="8"/>
  <c r="O158" i="8" s="1"/>
  <c r="N59" i="8"/>
  <c r="O59" i="8" s="1"/>
  <c r="N99" i="8"/>
  <c r="O99" i="8" s="1"/>
  <c r="N139" i="8"/>
  <c r="O139" i="8" s="1"/>
  <c r="N159" i="8"/>
  <c r="O159" i="8" s="1"/>
  <c r="N79" i="8"/>
  <c r="O79" i="8" s="1"/>
  <c r="N61" i="8"/>
  <c r="O61" i="8" s="1"/>
  <c r="N81" i="8"/>
  <c r="O81" i="8" s="1"/>
  <c r="N101" i="8"/>
  <c r="O101" i="8" s="1"/>
  <c r="N121" i="8"/>
  <c r="O121" i="8" s="1"/>
  <c r="N141" i="8"/>
  <c r="O141" i="8" s="1"/>
  <c r="N161" i="8"/>
  <c r="O161" i="8" s="1"/>
  <c r="N82" i="8"/>
  <c r="O82" i="8" s="1"/>
  <c r="N102" i="8"/>
  <c r="O102" i="8" s="1"/>
  <c r="N142" i="8"/>
  <c r="O142" i="8" s="1"/>
  <c r="N162" i="8"/>
  <c r="O162" i="8" s="1"/>
  <c r="N62" i="8"/>
  <c r="O62" i="8" s="1"/>
  <c r="N122" i="8"/>
  <c r="O122" i="8" s="1"/>
  <c r="N65" i="8"/>
  <c r="O65" i="8" s="1"/>
  <c r="N85" i="8"/>
  <c r="O85" i="8" s="1"/>
  <c r="N105" i="8"/>
  <c r="O105" i="8" s="1"/>
  <c r="N125" i="8"/>
  <c r="O125" i="8" s="1"/>
  <c r="N145" i="8"/>
  <c r="O145" i="8" s="1"/>
  <c r="N165" i="8"/>
  <c r="O165" i="8" s="1"/>
  <c r="N66" i="8"/>
  <c r="O66" i="8" s="1"/>
  <c r="N86" i="8"/>
  <c r="O86" i="8" s="1"/>
  <c r="N106" i="8"/>
  <c r="O106" i="8" s="1"/>
  <c r="N126" i="8"/>
  <c r="O126" i="8" s="1"/>
  <c r="N146" i="8"/>
  <c r="O146" i="8" s="1"/>
  <c r="N166" i="8"/>
  <c r="O166" i="8" s="1"/>
  <c r="N55" i="8"/>
  <c r="O55" i="8" s="1"/>
  <c r="N107" i="8"/>
  <c r="O107" i="8" s="1"/>
  <c r="N155" i="8"/>
  <c r="O155" i="8" s="1"/>
  <c r="N75" i="8"/>
  <c r="O75" i="8" s="1"/>
  <c r="N80" i="8"/>
  <c r="O80" i="8" s="1"/>
  <c r="N60" i="8"/>
  <c r="O60" i="8" s="1"/>
  <c r="N108" i="8"/>
  <c r="O108" i="8" s="1"/>
  <c r="N160" i="8"/>
  <c r="O160" i="8" s="1"/>
  <c r="N74" i="8"/>
  <c r="O74" i="8" s="1"/>
  <c r="N127" i="8"/>
  <c r="O127" i="8" s="1"/>
  <c r="N64" i="8"/>
  <c r="O64" i="8" s="1"/>
  <c r="N114" i="8"/>
  <c r="O114" i="8" s="1"/>
  <c r="N164" i="8"/>
  <c r="O164" i="8" s="1"/>
  <c r="N67" i="8"/>
  <c r="O67" i="8" s="1"/>
  <c r="N115" i="8"/>
  <c r="O115" i="8" s="1"/>
  <c r="N167" i="8"/>
  <c r="O167" i="8" s="1"/>
  <c r="N68" i="8"/>
  <c r="O68" i="8" s="1"/>
  <c r="N120" i="8"/>
  <c r="O120" i="8" s="1"/>
  <c r="N168" i="8"/>
  <c r="O168" i="8" s="1"/>
  <c r="N72" i="8"/>
  <c r="O72" i="8" s="1"/>
  <c r="N172" i="8"/>
  <c r="O172" i="8" s="1"/>
  <c r="N174" i="8"/>
  <c r="O174" i="8" s="1"/>
  <c r="N128" i="8"/>
  <c r="O128" i="8" s="1"/>
  <c r="N175" i="8"/>
  <c r="O175" i="8" s="1"/>
  <c r="N123" i="8"/>
  <c r="O123" i="8" s="1"/>
  <c r="N132" i="8"/>
  <c r="O132" i="8" s="1"/>
  <c r="N84" i="8"/>
  <c r="O84" i="8" s="1"/>
  <c r="N134" i="8"/>
  <c r="O134" i="8" s="1"/>
  <c r="N140" i="8"/>
  <c r="O140" i="8" s="1"/>
  <c r="N143" i="8"/>
  <c r="O143" i="8" s="1"/>
  <c r="N52" i="8"/>
  <c r="O52" i="8" s="1"/>
  <c r="N104" i="8"/>
  <c r="O104" i="8" s="1"/>
  <c r="N63" i="8"/>
  <c r="O63" i="8" s="1"/>
  <c r="N124" i="8"/>
  <c r="O124" i="8" s="1"/>
  <c r="N87" i="8"/>
  <c r="O87" i="8" s="1"/>
  <c r="N135" i="8"/>
  <c r="O135" i="8" s="1"/>
  <c r="N88" i="8"/>
  <c r="O88" i="8" s="1"/>
  <c r="N92" i="8"/>
  <c r="O92" i="8" s="1"/>
  <c r="N100" i="8"/>
  <c r="O100" i="8" s="1"/>
  <c r="N103" i="8"/>
  <c r="O103" i="8" s="1"/>
  <c r="N154" i="8"/>
  <c r="O154" i="8" s="1"/>
  <c r="N112" i="8"/>
  <c r="O112" i="8" s="1"/>
  <c r="N94" i="8"/>
  <c r="O94" i="8" s="1"/>
  <c r="N144" i="8"/>
  <c r="O144" i="8" s="1"/>
  <c r="N95" i="8"/>
  <c r="O95" i="8" s="1"/>
  <c r="N147" i="8"/>
  <c r="O147" i="8" s="1"/>
  <c r="N148" i="8"/>
  <c r="O148" i="8" s="1"/>
  <c r="N54" i="8"/>
  <c r="O54" i="8" s="1"/>
  <c r="N163" i="8"/>
  <c r="O163" i="8" s="1"/>
  <c r="N83" i="8"/>
  <c r="O83" i="8" s="1"/>
  <c r="L112" i="8"/>
  <c r="L67" i="8"/>
  <c r="L117" i="8"/>
  <c r="L68" i="8"/>
  <c r="L142" i="8"/>
  <c r="L129" i="8"/>
  <c r="L103" i="8"/>
  <c r="L53" i="8"/>
  <c r="L99" i="8"/>
  <c r="L100" i="8"/>
  <c r="L62" i="8"/>
  <c r="L71" i="8"/>
  <c r="L164" i="8"/>
  <c r="L108" i="8"/>
  <c r="L70" i="8"/>
  <c r="L73" i="8"/>
  <c r="L130" i="8"/>
  <c r="L156" i="8"/>
  <c r="L89" i="8"/>
  <c r="L146" i="8"/>
  <c r="L137" i="8"/>
  <c r="L75" i="8"/>
  <c r="L98" i="8"/>
  <c r="L169" i="8"/>
  <c r="L54" i="8"/>
  <c r="L90" i="8"/>
  <c r="L104" i="8"/>
  <c r="L80" i="8"/>
  <c r="L158" i="8"/>
  <c r="L95" i="8"/>
  <c r="L55" i="8"/>
  <c r="L56" i="8"/>
  <c r="L51" i="8"/>
  <c r="L52" i="8"/>
  <c r="L97" i="8"/>
  <c r="L60" i="8"/>
  <c r="L61" i="8"/>
  <c r="L110" i="8"/>
  <c r="L175" i="8"/>
  <c r="L64" i="8"/>
  <c r="L65" i="8"/>
  <c r="L119" i="8"/>
  <c r="L140" i="8"/>
  <c r="L72" i="8"/>
  <c r="L121" i="8"/>
  <c r="L85" i="8"/>
  <c r="L161" i="8"/>
  <c r="L157" i="8"/>
  <c r="L63" i="8"/>
  <c r="L50" i="8"/>
  <c r="L151" i="8"/>
  <c r="K151" i="8"/>
  <c r="L176" i="8"/>
  <c r="K127" i="8"/>
  <c r="E177" i="8"/>
  <c r="L127" i="8"/>
  <c r="E152" i="8"/>
  <c r="K57" i="8"/>
  <c r="I57" i="8"/>
  <c r="K114" i="8"/>
  <c r="I114" i="8"/>
  <c r="I123" i="8"/>
  <c r="K123" i="8"/>
  <c r="K170" i="8"/>
  <c r="I170" i="8"/>
  <c r="I157" i="8"/>
  <c r="K157" i="8"/>
  <c r="I136" i="8"/>
  <c r="K136" i="8"/>
  <c r="K79" i="8"/>
  <c r="I79" i="8"/>
  <c r="I148" i="8"/>
  <c r="K148" i="8"/>
  <c r="I76" i="8"/>
  <c r="K76" i="8"/>
  <c r="K154" i="8"/>
  <c r="I154" i="8"/>
  <c r="K111" i="8"/>
  <c r="I111" i="8"/>
  <c r="K54" i="8"/>
  <c r="I54" i="8"/>
  <c r="K134" i="8"/>
  <c r="I134" i="8"/>
  <c r="K60" i="8"/>
  <c r="I60" i="8"/>
  <c r="K149" i="8"/>
  <c r="I149" i="8"/>
  <c r="K103" i="8"/>
  <c r="I103" i="8"/>
  <c r="K137" i="8"/>
  <c r="I137" i="8"/>
  <c r="K138" i="8"/>
  <c r="I138" i="8"/>
  <c r="K112" i="8"/>
  <c r="I112" i="8"/>
  <c r="I53" i="8"/>
  <c r="K53" i="8"/>
  <c r="I140" i="8"/>
  <c r="K140" i="8"/>
  <c r="I95" i="8"/>
  <c r="K95" i="8"/>
  <c r="K75" i="8"/>
  <c r="I75" i="8"/>
  <c r="I147" i="8"/>
  <c r="K147" i="8"/>
  <c r="K150" i="8"/>
  <c r="I150" i="8"/>
  <c r="I98" i="8"/>
  <c r="K98" i="8"/>
  <c r="I133" i="8"/>
  <c r="K133" i="8"/>
  <c r="K91" i="8"/>
  <c r="I91" i="8"/>
  <c r="I94" i="8"/>
  <c r="K94" i="8"/>
  <c r="I97" i="8"/>
  <c r="K97" i="8"/>
  <c r="K74" i="8"/>
  <c r="I74" i="8"/>
  <c r="K124" i="8"/>
  <c r="I124" i="8"/>
  <c r="K86" i="8"/>
  <c r="I86" i="8"/>
  <c r="I61" i="8"/>
  <c r="K61" i="8"/>
  <c r="I166" i="8"/>
  <c r="K166" i="8"/>
  <c r="I59" i="8"/>
  <c r="L59" i="8"/>
  <c r="M59" i="8" s="1"/>
  <c r="K165" i="8"/>
  <c r="I165" i="8"/>
  <c r="K62" i="8"/>
  <c r="I62" i="8"/>
  <c r="K115" i="8"/>
  <c r="I115" i="8"/>
  <c r="K176" i="8"/>
  <c r="K160" i="8"/>
  <c r="I160" i="8"/>
  <c r="K135" i="8"/>
  <c r="I135" i="8"/>
  <c r="I85" i="8"/>
  <c r="K85" i="8"/>
  <c r="K131" i="8"/>
  <c r="I131" i="8"/>
  <c r="K88" i="8"/>
  <c r="I88" i="8"/>
  <c r="I164" i="8"/>
  <c r="K164" i="8"/>
  <c r="K102" i="8"/>
  <c r="I102" i="8"/>
  <c r="I108" i="8"/>
  <c r="K108" i="8"/>
  <c r="I58" i="8"/>
  <c r="L58" i="8"/>
  <c r="M58" i="8" s="1"/>
  <c r="K65" i="8"/>
  <c r="I65" i="8"/>
  <c r="K122" i="8"/>
  <c r="I122" i="8"/>
  <c r="K66" i="8"/>
  <c r="I66" i="8"/>
  <c r="K125" i="8"/>
  <c r="I125" i="8"/>
  <c r="K55" i="8"/>
  <c r="I55" i="8"/>
  <c r="K78" i="8"/>
  <c r="I78" i="8"/>
  <c r="I121" i="8"/>
  <c r="K121" i="8"/>
  <c r="I104" i="8"/>
  <c r="K104" i="8"/>
  <c r="I72" i="8"/>
  <c r="K72" i="8"/>
  <c r="K116" i="8"/>
  <c r="I116" i="8"/>
  <c r="I161" i="8"/>
  <c r="K161" i="8"/>
  <c r="K73" i="8"/>
  <c r="I73" i="8"/>
  <c r="K92" i="8"/>
  <c r="I92" i="8"/>
  <c r="I107" i="8"/>
  <c r="K107" i="8"/>
  <c r="K64" i="8"/>
  <c r="I64" i="8"/>
  <c r="I77" i="8"/>
  <c r="L77" i="8"/>
  <c r="M77" i="8" s="1"/>
  <c r="K129" i="8"/>
  <c r="I129" i="8"/>
  <c r="I126" i="8"/>
  <c r="K126" i="8"/>
  <c r="K175" i="8"/>
  <c r="I175" i="8"/>
  <c r="K173" i="8"/>
  <c r="I173" i="8"/>
  <c r="K93" i="8"/>
  <c r="I93" i="8"/>
  <c r="K82" i="8"/>
  <c r="I82" i="8"/>
  <c r="K159" i="8"/>
  <c r="I159" i="8"/>
  <c r="K142" i="8"/>
  <c r="I142" i="8"/>
  <c r="K117" i="8"/>
  <c r="I117" i="8"/>
  <c r="K100" i="8"/>
  <c r="I100" i="8"/>
  <c r="K80" i="8"/>
  <c r="I80" i="8"/>
  <c r="K155" i="8"/>
  <c r="I155" i="8"/>
  <c r="K172" i="8"/>
  <c r="I172" i="8"/>
  <c r="K169" i="8"/>
  <c r="I169" i="8"/>
  <c r="K162" i="8"/>
  <c r="I162" i="8"/>
  <c r="I51" i="8"/>
  <c r="K51" i="8"/>
  <c r="K168" i="8"/>
  <c r="I168" i="8"/>
  <c r="I144" i="8"/>
  <c r="K144" i="8"/>
  <c r="K89" i="8"/>
  <c r="I89" i="8"/>
  <c r="K153" i="8"/>
  <c r="I153" i="8"/>
  <c r="K69" i="8"/>
  <c r="I69" i="8"/>
  <c r="K50" i="8"/>
  <c r="I50" i="8"/>
  <c r="I83" i="8"/>
  <c r="K83" i="8"/>
  <c r="I105" i="8"/>
  <c r="K105" i="8"/>
  <c r="K130" i="8"/>
  <c r="I130" i="8"/>
  <c r="I67" i="8"/>
  <c r="K67" i="8"/>
  <c r="K163" i="8"/>
  <c r="I163" i="8"/>
  <c r="K167" i="8"/>
  <c r="I167" i="8"/>
  <c r="K68" i="8"/>
  <c r="I68" i="8"/>
  <c r="K174" i="8"/>
  <c r="I174" i="8"/>
  <c r="K113" i="8"/>
  <c r="I113" i="8"/>
  <c r="K139" i="8"/>
  <c r="I139" i="8"/>
  <c r="K158" i="8"/>
  <c r="I158" i="8"/>
  <c r="K63" i="8"/>
  <c r="I63" i="8"/>
  <c r="I90" i="8"/>
  <c r="K90" i="8"/>
  <c r="I143" i="8"/>
  <c r="K143" i="8"/>
  <c r="K118" i="8"/>
  <c r="I118" i="8"/>
  <c r="K70" i="8"/>
  <c r="I70" i="8"/>
  <c r="K132" i="8"/>
  <c r="I132" i="8"/>
  <c r="K71" i="8"/>
  <c r="I71" i="8"/>
  <c r="I120" i="8"/>
  <c r="K120" i="8"/>
  <c r="K145" i="8"/>
  <c r="I145" i="8"/>
  <c r="K84" i="8"/>
  <c r="I84" i="8"/>
  <c r="K87" i="8"/>
  <c r="I87" i="8"/>
  <c r="I56" i="8"/>
  <c r="K56" i="8"/>
  <c r="I109" i="8"/>
  <c r="K109" i="8"/>
  <c r="K96" i="8"/>
  <c r="I96" i="8"/>
  <c r="K106" i="8"/>
  <c r="I106" i="8"/>
  <c r="I81" i="8"/>
  <c r="K81" i="8"/>
  <c r="I146" i="8"/>
  <c r="K146" i="8"/>
  <c r="K171" i="8"/>
  <c r="I171" i="8"/>
  <c r="I141" i="8"/>
  <c r="K141" i="8"/>
  <c r="I156" i="8"/>
  <c r="K156" i="8"/>
  <c r="K119" i="8"/>
  <c r="I119" i="8"/>
  <c r="K52" i="8"/>
  <c r="I52" i="8"/>
  <c r="I99" i="8"/>
  <c r="K99" i="8"/>
  <c r="K110" i="8"/>
  <c r="I110" i="8"/>
  <c r="K101" i="8"/>
  <c r="I101" i="8"/>
  <c r="K128" i="8"/>
  <c r="I128" i="8"/>
  <c r="G88" i="1" l="1"/>
  <c r="L38" i="1" s="1"/>
  <c r="E83" i="7"/>
  <c r="E82" i="7"/>
  <c r="E87" i="7"/>
  <c r="D62" i="7"/>
  <c r="D63" i="7" s="1"/>
  <c r="D64" i="7" s="1"/>
  <c r="D66" i="7" s="1"/>
  <c r="C22" i="7"/>
  <c r="C23" i="7" s="1"/>
  <c r="C24" i="7" s="1"/>
  <c r="S151" i="8"/>
  <c r="T151" i="8" s="1"/>
  <c r="F38" i="1"/>
  <c r="F88" i="1" s="1"/>
  <c r="T199" i="8"/>
  <c r="S199" i="8"/>
  <c r="AE152" i="8"/>
  <c r="AI152" i="8" s="1"/>
  <c r="AL127" i="8"/>
  <c r="S127" i="8"/>
  <c r="T127" i="8" s="1"/>
  <c r="M69" i="8"/>
  <c r="U69" i="8" s="1"/>
  <c r="W69" i="8" s="1"/>
  <c r="AJ176" i="8"/>
  <c r="AK176" i="8" s="1"/>
  <c r="AL176" i="8"/>
  <c r="AJ151" i="8"/>
  <c r="AK151" i="8" s="1"/>
  <c r="AL151" i="8"/>
  <c r="Q152" i="8"/>
  <c r="R152" i="8"/>
  <c r="N152" i="8"/>
  <c r="O152" i="8" s="1"/>
  <c r="Q177" i="8"/>
  <c r="R177" i="8"/>
  <c r="N177" i="8"/>
  <c r="O177" i="8" s="1"/>
  <c r="AE177" i="8"/>
  <c r="AI177" i="8" s="1"/>
  <c r="M160" i="8"/>
  <c r="U160" i="8" s="1"/>
  <c r="W160" i="8" s="1"/>
  <c r="M84" i="8"/>
  <c r="U84" i="8" s="1"/>
  <c r="W84" i="8" s="1"/>
  <c r="X84" i="8" s="1"/>
  <c r="Y84" i="8" s="1"/>
  <c r="M172" i="8"/>
  <c r="U172" i="8" s="1"/>
  <c r="W172" i="8" s="1"/>
  <c r="M87" i="8"/>
  <c r="U87" i="8" s="1"/>
  <c r="W87" i="8" s="1"/>
  <c r="M138" i="8"/>
  <c r="U138" i="8" s="1"/>
  <c r="W138" i="8" s="1"/>
  <c r="M91" i="8"/>
  <c r="U91" i="8" s="1"/>
  <c r="W91" i="8" s="1"/>
  <c r="Z91" i="8" s="1"/>
  <c r="AA91" i="8" s="1"/>
  <c r="M173" i="8"/>
  <c r="U173" i="8" s="1"/>
  <c r="W173" i="8" s="1"/>
  <c r="U178" i="8"/>
  <c r="W178" i="8" s="1"/>
  <c r="AN178" i="8" s="1"/>
  <c r="M74" i="8"/>
  <c r="U74" i="8" s="1"/>
  <c r="W74" i="8" s="1"/>
  <c r="X74" i="8" s="1"/>
  <c r="Y74" i="8" s="1"/>
  <c r="M122" i="8"/>
  <c r="U122" i="8" s="1"/>
  <c r="W122" i="8" s="1"/>
  <c r="M162" i="8"/>
  <c r="U162" i="8" s="1"/>
  <c r="W162" i="8" s="1"/>
  <c r="M94" i="8"/>
  <c r="U94" i="8" s="1"/>
  <c r="W94" i="8" s="1"/>
  <c r="Z94" i="8" s="1"/>
  <c r="AA94" i="8" s="1"/>
  <c r="M78" i="8"/>
  <c r="U78" i="8" s="1"/>
  <c r="W78" i="8" s="1"/>
  <c r="M57" i="8"/>
  <c r="U57" i="8" s="1"/>
  <c r="W57" i="8" s="1"/>
  <c r="Z57" i="8" s="1"/>
  <c r="AA57" i="8" s="1"/>
  <c r="M141" i="8"/>
  <c r="U141" i="8" s="1"/>
  <c r="W141" i="8" s="1"/>
  <c r="M101" i="8"/>
  <c r="U101" i="8" s="1"/>
  <c r="W101" i="8" s="1"/>
  <c r="Z101" i="8" s="1"/>
  <c r="AA101" i="8" s="1"/>
  <c r="M115" i="8"/>
  <c r="U115" i="8" s="1"/>
  <c r="W115" i="8" s="1"/>
  <c r="AN115" i="8" s="1"/>
  <c r="AQ115" i="8" s="1"/>
  <c r="AR115" i="8" s="1"/>
  <c r="M128" i="8"/>
  <c r="U128" i="8" s="1"/>
  <c r="W128" i="8" s="1"/>
  <c r="M155" i="8"/>
  <c r="U155" i="8" s="1"/>
  <c r="W155" i="8" s="1"/>
  <c r="M113" i="8"/>
  <c r="U113" i="8" s="1"/>
  <c r="W113" i="8" s="1"/>
  <c r="M159" i="8"/>
  <c r="U159" i="8" s="1"/>
  <c r="W159" i="8" s="1"/>
  <c r="M83" i="8"/>
  <c r="U83" i="8" s="1"/>
  <c r="W83" i="8" s="1"/>
  <c r="M102" i="8"/>
  <c r="U102" i="8" s="1"/>
  <c r="W102" i="8" s="1"/>
  <c r="M136" i="8"/>
  <c r="U136" i="8" s="1"/>
  <c r="W136" i="8" s="1"/>
  <c r="X136" i="8" s="1"/>
  <c r="Y136" i="8" s="1"/>
  <c r="M149" i="8"/>
  <c r="U149" i="8" s="1"/>
  <c r="W149" i="8" s="1"/>
  <c r="M147" i="8"/>
  <c r="U147" i="8" s="1"/>
  <c r="W147" i="8" s="1"/>
  <c r="X147" i="8" s="1"/>
  <c r="Y147" i="8" s="1"/>
  <c r="M123" i="8"/>
  <c r="U123" i="8" s="1"/>
  <c r="W123" i="8" s="1"/>
  <c r="M144" i="8"/>
  <c r="U144" i="8" s="1"/>
  <c r="W144" i="8" s="1"/>
  <c r="M116" i="8"/>
  <c r="U116" i="8" s="1"/>
  <c r="W116" i="8" s="1"/>
  <c r="M126" i="8"/>
  <c r="U126" i="8" s="1"/>
  <c r="W126" i="8" s="1"/>
  <c r="X126" i="8" s="1"/>
  <c r="Y126" i="8" s="1"/>
  <c r="M165" i="8"/>
  <c r="U165" i="8" s="1"/>
  <c r="W165" i="8" s="1"/>
  <c r="AN165" i="8" s="1"/>
  <c r="AQ165" i="8" s="1"/>
  <c r="AR165" i="8" s="1"/>
  <c r="M106" i="8"/>
  <c r="U106" i="8" s="1"/>
  <c r="W106" i="8" s="1"/>
  <c r="M114" i="8"/>
  <c r="U114" i="8" s="1"/>
  <c r="W114" i="8" s="1"/>
  <c r="AN114" i="8" s="1"/>
  <c r="AQ114" i="8" s="1"/>
  <c r="AR114" i="8" s="1"/>
  <c r="M166" i="8"/>
  <c r="U166" i="8" s="1"/>
  <c r="W166" i="8" s="1"/>
  <c r="AN166" i="8" s="1"/>
  <c r="AQ166" i="8" s="1"/>
  <c r="AR166" i="8" s="1"/>
  <c r="M174" i="8"/>
  <c r="U174" i="8" s="1"/>
  <c r="W174" i="8" s="1"/>
  <c r="M153" i="8"/>
  <c r="U153" i="8" s="1"/>
  <c r="W153" i="8" s="1"/>
  <c r="M81" i="8"/>
  <c r="U81" i="8" s="1"/>
  <c r="W81" i="8" s="1"/>
  <c r="M86" i="8"/>
  <c r="U86" i="8" s="1"/>
  <c r="W86" i="8" s="1"/>
  <c r="M125" i="8"/>
  <c r="U125" i="8" s="1"/>
  <c r="W125" i="8" s="1"/>
  <c r="X125" i="8" s="1"/>
  <c r="Y125" i="8" s="1"/>
  <c r="M96" i="8"/>
  <c r="U96" i="8" s="1"/>
  <c r="W96" i="8" s="1"/>
  <c r="M118" i="8"/>
  <c r="U118" i="8" s="1"/>
  <c r="W118" i="8" s="1"/>
  <c r="M163" i="8"/>
  <c r="U163" i="8" s="1"/>
  <c r="W163" i="8" s="1"/>
  <c r="M168" i="8"/>
  <c r="U168" i="8" s="1"/>
  <c r="W168" i="8" s="1"/>
  <c r="M92" i="8"/>
  <c r="U92" i="8" s="1"/>
  <c r="W92" i="8" s="1"/>
  <c r="Z92" i="8" s="1"/>
  <c r="AA92" i="8" s="1"/>
  <c r="M135" i="8"/>
  <c r="U135" i="8" s="1"/>
  <c r="W135" i="8" s="1"/>
  <c r="M170" i="8"/>
  <c r="U170" i="8" s="1"/>
  <c r="W170" i="8" s="1"/>
  <c r="X170" i="8" s="1"/>
  <c r="Y170" i="8" s="1"/>
  <c r="M139" i="8"/>
  <c r="U139" i="8" s="1"/>
  <c r="W139" i="8" s="1"/>
  <c r="M88" i="8"/>
  <c r="U88" i="8" s="1"/>
  <c r="W88" i="8" s="1"/>
  <c r="Z88" i="8" s="1"/>
  <c r="AA88" i="8" s="1"/>
  <c r="X12" i="8"/>
  <c r="M111" i="8"/>
  <c r="U111" i="8" s="1"/>
  <c r="W111" i="8" s="1"/>
  <c r="X111" i="8" s="1"/>
  <c r="Y111" i="8" s="1"/>
  <c r="M93" i="8"/>
  <c r="U93" i="8" s="1"/>
  <c r="W93" i="8" s="1"/>
  <c r="M76" i="8"/>
  <c r="U76" i="8" s="1"/>
  <c r="W76" i="8" s="1"/>
  <c r="Z76" i="8" s="1"/>
  <c r="AA76" i="8" s="1"/>
  <c r="M167" i="8"/>
  <c r="U167" i="8" s="1"/>
  <c r="W167" i="8" s="1"/>
  <c r="M66" i="8"/>
  <c r="U66" i="8" s="1"/>
  <c r="W66" i="8" s="1"/>
  <c r="X66" i="8" s="1"/>
  <c r="Y66" i="8" s="1"/>
  <c r="M143" i="8"/>
  <c r="U143" i="8" s="1"/>
  <c r="W143" i="8" s="1"/>
  <c r="M107" i="8"/>
  <c r="U107" i="8" s="1"/>
  <c r="W107" i="8" s="1"/>
  <c r="M124" i="8"/>
  <c r="U124" i="8" s="1"/>
  <c r="W124" i="8" s="1"/>
  <c r="M79" i="8"/>
  <c r="U79" i="8" s="1"/>
  <c r="W79" i="8" s="1"/>
  <c r="M134" i="8"/>
  <c r="U134" i="8" s="1"/>
  <c r="W134" i="8" s="1"/>
  <c r="AN134" i="8" s="1"/>
  <c r="AQ134" i="8" s="1"/>
  <c r="AR134" i="8" s="1"/>
  <c r="M171" i="8"/>
  <c r="U171" i="8" s="1"/>
  <c r="W171" i="8" s="1"/>
  <c r="M150" i="8"/>
  <c r="U150" i="8" s="1"/>
  <c r="W150" i="8" s="1"/>
  <c r="M132" i="8"/>
  <c r="U132" i="8" s="1"/>
  <c r="W132" i="8" s="1"/>
  <c r="M131" i="8"/>
  <c r="U131" i="8" s="1"/>
  <c r="W131" i="8" s="1"/>
  <c r="M109" i="8"/>
  <c r="U109" i="8" s="1"/>
  <c r="W109" i="8" s="1"/>
  <c r="M154" i="8"/>
  <c r="U154" i="8" s="1"/>
  <c r="W154" i="8" s="1"/>
  <c r="X154" i="8" s="1"/>
  <c r="Y154" i="8" s="1"/>
  <c r="M148" i="8"/>
  <c r="U148" i="8" s="1"/>
  <c r="W148" i="8" s="1"/>
  <c r="X148" i="8" s="1"/>
  <c r="Y148" i="8" s="1"/>
  <c r="M133" i="8"/>
  <c r="U133" i="8" s="1"/>
  <c r="W133" i="8" s="1"/>
  <c r="X133" i="8" s="1"/>
  <c r="Y133" i="8" s="1"/>
  <c r="M145" i="8"/>
  <c r="U145" i="8" s="1"/>
  <c r="W145" i="8" s="1"/>
  <c r="M82" i="8"/>
  <c r="U82" i="8" s="1"/>
  <c r="W82" i="8" s="1"/>
  <c r="M105" i="8"/>
  <c r="U105" i="8" s="1"/>
  <c r="W105" i="8" s="1"/>
  <c r="M120" i="8"/>
  <c r="U120" i="8" s="1"/>
  <c r="W120" i="8" s="1"/>
  <c r="M112" i="8"/>
  <c r="U112" i="8" s="1"/>
  <c r="W112" i="8" s="1"/>
  <c r="M156" i="8"/>
  <c r="U156" i="8" s="1"/>
  <c r="W156" i="8" s="1"/>
  <c r="M68" i="8"/>
  <c r="U68" i="8" s="1"/>
  <c r="W68" i="8" s="1"/>
  <c r="M117" i="8"/>
  <c r="U117" i="8" s="1"/>
  <c r="W117" i="8" s="1"/>
  <c r="M71" i="8"/>
  <c r="U71" i="8" s="1"/>
  <c r="W71" i="8" s="1"/>
  <c r="M110" i="8"/>
  <c r="U110" i="8" s="1"/>
  <c r="W110" i="8" s="1"/>
  <c r="M51" i="8"/>
  <c r="U51" i="8" s="1"/>
  <c r="W51" i="8" s="1"/>
  <c r="M67" i="8"/>
  <c r="U67" i="8" s="1"/>
  <c r="W67" i="8" s="1"/>
  <c r="M64" i="8"/>
  <c r="U64" i="8" s="1"/>
  <c r="W64" i="8" s="1"/>
  <c r="M75" i="8"/>
  <c r="U75" i="8" s="1"/>
  <c r="W75" i="8" s="1"/>
  <c r="M89" i="8"/>
  <c r="U89" i="8" s="1"/>
  <c r="W89" i="8" s="1"/>
  <c r="M65" i="8"/>
  <c r="U65" i="8" s="1"/>
  <c r="W65" i="8" s="1"/>
  <c r="M140" i="8"/>
  <c r="U140" i="8" s="1"/>
  <c r="W140" i="8" s="1"/>
  <c r="AN140" i="8" s="1"/>
  <c r="AQ140" i="8" s="1"/>
  <c r="AR140" i="8" s="1"/>
  <c r="M56" i="8"/>
  <c r="U56" i="8" s="1"/>
  <c r="W56" i="8" s="1"/>
  <c r="M52" i="8"/>
  <c r="U52" i="8" s="1"/>
  <c r="W52" i="8" s="1"/>
  <c r="M50" i="8"/>
  <c r="U50" i="8" s="1"/>
  <c r="W50" i="8" s="1"/>
  <c r="M164" i="8"/>
  <c r="U164" i="8" s="1"/>
  <c r="W164" i="8" s="1"/>
  <c r="X164" i="8" s="1"/>
  <c r="Y164" i="8" s="1"/>
  <c r="M130" i="8"/>
  <c r="U130" i="8" s="1"/>
  <c r="W130" i="8" s="1"/>
  <c r="M73" i="8"/>
  <c r="U73" i="8" s="1"/>
  <c r="W73" i="8" s="1"/>
  <c r="M175" i="8"/>
  <c r="U175" i="8" s="1"/>
  <c r="W175" i="8" s="1"/>
  <c r="M55" i="8"/>
  <c r="U55" i="8" s="1"/>
  <c r="W55" i="8" s="1"/>
  <c r="M61" i="8"/>
  <c r="U61" i="8" s="1"/>
  <c r="W61" i="8" s="1"/>
  <c r="M60" i="8"/>
  <c r="U60" i="8" s="1"/>
  <c r="W60" i="8" s="1"/>
  <c r="M99" i="8"/>
  <c r="U99" i="8" s="1"/>
  <c r="W99" i="8" s="1"/>
  <c r="M63" i="8"/>
  <c r="U63" i="8" s="1"/>
  <c r="W63" i="8" s="1"/>
  <c r="M158" i="8"/>
  <c r="U158" i="8" s="1"/>
  <c r="W158" i="8" s="1"/>
  <c r="M62" i="8"/>
  <c r="U62" i="8" s="1"/>
  <c r="W62" i="8" s="1"/>
  <c r="M104" i="8"/>
  <c r="U104" i="8" s="1"/>
  <c r="W104" i="8" s="1"/>
  <c r="X104" i="8" s="1"/>
  <c r="Y104" i="8" s="1"/>
  <c r="M137" i="8"/>
  <c r="U137" i="8" s="1"/>
  <c r="W137" i="8" s="1"/>
  <c r="M98" i="8"/>
  <c r="U98" i="8" s="1"/>
  <c r="W98" i="8" s="1"/>
  <c r="X98" i="8" s="1"/>
  <c r="Y98" i="8" s="1"/>
  <c r="M103" i="8"/>
  <c r="U103" i="8" s="1"/>
  <c r="W103" i="8" s="1"/>
  <c r="M119" i="8"/>
  <c r="U119" i="8" s="1"/>
  <c r="W119" i="8" s="1"/>
  <c r="M80" i="8"/>
  <c r="U80" i="8" s="1"/>
  <c r="W80" i="8" s="1"/>
  <c r="M95" i="8"/>
  <c r="U95" i="8" s="1"/>
  <c r="W95" i="8" s="1"/>
  <c r="AN95" i="8" s="1"/>
  <c r="AQ95" i="8" s="1"/>
  <c r="AR95" i="8" s="1"/>
  <c r="M161" i="8"/>
  <c r="U161" i="8" s="1"/>
  <c r="W161" i="8" s="1"/>
  <c r="AN161" i="8" s="1"/>
  <c r="AQ161" i="8" s="1"/>
  <c r="AR161" i="8" s="1"/>
  <c r="M72" i="8"/>
  <c r="U72" i="8" s="1"/>
  <c r="W72" i="8" s="1"/>
  <c r="M146" i="8"/>
  <c r="U146" i="8" s="1"/>
  <c r="W146" i="8" s="1"/>
  <c r="M100" i="8"/>
  <c r="U100" i="8" s="1"/>
  <c r="W100" i="8" s="1"/>
  <c r="M53" i="8"/>
  <c r="U53" i="8" s="1"/>
  <c r="W53" i="8" s="1"/>
  <c r="M169" i="8"/>
  <c r="U169" i="8" s="1"/>
  <c r="W169" i="8" s="1"/>
  <c r="M85" i="8"/>
  <c r="U85" i="8" s="1"/>
  <c r="W85" i="8" s="1"/>
  <c r="AN85" i="8" s="1"/>
  <c r="AQ85" i="8" s="1"/>
  <c r="AR85" i="8" s="1"/>
  <c r="M142" i="8"/>
  <c r="U142" i="8" s="1"/>
  <c r="W142" i="8" s="1"/>
  <c r="M54" i="8"/>
  <c r="U54" i="8" s="1"/>
  <c r="W54" i="8" s="1"/>
  <c r="Z54" i="8" s="1"/>
  <c r="AA54" i="8" s="1"/>
  <c r="M90" i="8"/>
  <c r="U90" i="8" s="1"/>
  <c r="W90" i="8" s="1"/>
  <c r="M121" i="8"/>
  <c r="U121" i="8" s="1"/>
  <c r="W121" i="8" s="1"/>
  <c r="AN121" i="8" s="1"/>
  <c r="AQ121" i="8" s="1"/>
  <c r="AR121" i="8" s="1"/>
  <c r="M129" i="8"/>
  <c r="U129" i="8" s="1"/>
  <c r="W129" i="8" s="1"/>
  <c r="M157" i="8"/>
  <c r="U157" i="8" s="1"/>
  <c r="W157" i="8" s="1"/>
  <c r="M70" i="8"/>
  <c r="U70" i="8" s="1"/>
  <c r="W70" i="8" s="1"/>
  <c r="M97" i="8"/>
  <c r="U97" i="8" s="1"/>
  <c r="W97" i="8" s="1"/>
  <c r="U58" i="8"/>
  <c r="W58" i="8" s="1"/>
  <c r="M108" i="8"/>
  <c r="U108" i="8" s="1"/>
  <c r="W108" i="8" s="1"/>
  <c r="M151" i="8"/>
  <c r="U77" i="8"/>
  <c r="W77" i="8" s="1"/>
  <c r="U59" i="8"/>
  <c r="W59" i="8" s="1"/>
  <c r="X59" i="8" s="1"/>
  <c r="Y59" i="8" s="1"/>
  <c r="I176" i="8"/>
  <c r="I127" i="8"/>
  <c r="M127" i="8"/>
  <c r="I151" i="8"/>
  <c r="M176" i="8"/>
  <c r="L177" i="8"/>
  <c r="L152" i="8"/>
  <c r="S176" i="8"/>
  <c r="T176" i="8" s="1"/>
  <c r="E85" i="7" l="1"/>
  <c r="E88" i="7" s="1"/>
  <c r="D67" i="7"/>
  <c r="U151" i="8"/>
  <c r="W151" i="8" s="1"/>
  <c r="U127" i="8"/>
  <c r="W127" i="8" s="1"/>
  <c r="X127" i="8" s="1"/>
  <c r="Y127" i="8" s="1"/>
  <c r="C15" i="7"/>
  <c r="D41" i="7" s="1"/>
  <c r="U199" i="8"/>
  <c r="Z199" i="8" s="1"/>
  <c r="AA199" i="8" s="1"/>
  <c r="AJ152" i="8"/>
  <c r="AK152" i="8" s="1"/>
  <c r="AL152" i="8"/>
  <c r="AL177" i="8"/>
  <c r="AJ177" i="8"/>
  <c r="AK177" i="8" s="1"/>
  <c r="Z178" i="8"/>
  <c r="AA178" i="8" s="1"/>
  <c r="U9" i="8" s="1"/>
  <c r="Z16" i="8" s="1"/>
  <c r="X178" i="8"/>
  <c r="Y178" i="8" s="1"/>
  <c r="AQ178" i="8"/>
  <c r="AR178" i="8" s="1"/>
  <c r="AO178" i="8"/>
  <c r="AP178" i="8" s="1"/>
  <c r="AN108" i="8"/>
  <c r="AQ108" i="8" s="1"/>
  <c r="AR108" i="8" s="1"/>
  <c r="X108" i="8"/>
  <c r="Y108" i="8" s="1"/>
  <c r="Z108" i="8"/>
  <c r="AA108" i="8" s="1"/>
  <c r="Z164" i="8"/>
  <c r="AA164" i="8" s="1"/>
  <c r="AN164" i="8"/>
  <c r="AQ164" i="8" s="1"/>
  <c r="AR164" i="8" s="1"/>
  <c r="AN123" i="8"/>
  <c r="AQ123" i="8" s="1"/>
  <c r="AR123" i="8" s="1"/>
  <c r="Z123" i="8"/>
  <c r="AA123" i="8" s="1"/>
  <c r="X123" i="8"/>
  <c r="Y123" i="8" s="1"/>
  <c r="Z97" i="8"/>
  <c r="AA97" i="8" s="1"/>
  <c r="AN97" i="8"/>
  <c r="AQ97" i="8" s="1"/>
  <c r="AR97" i="8" s="1"/>
  <c r="X97" i="8"/>
  <c r="Y97" i="8" s="1"/>
  <c r="X140" i="8"/>
  <c r="Y140" i="8" s="1"/>
  <c r="Z140" i="8"/>
  <c r="AA140" i="8" s="1"/>
  <c r="Z115" i="8"/>
  <c r="AA115" i="8" s="1"/>
  <c r="X115" i="8"/>
  <c r="Y115" i="8" s="1"/>
  <c r="AN98" i="8"/>
  <c r="AQ98" i="8" s="1"/>
  <c r="AR98" i="8" s="1"/>
  <c r="AN59" i="8"/>
  <c r="AQ59" i="8" s="1"/>
  <c r="AR59" i="8" s="1"/>
  <c r="AN157" i="8"/>
  <c r="AQ157" i="8" s="1"/>
  <c r="AR157" i="8" s="1"/>
  <c r="Z98" i="8"/>
  <c r="AA98" i="8" s="1"/>
  <c r="Z59" i="8"/>
  <c r="AA59" i="8" s="1"/>
  <c r="Z157" i="8"/>
  <c r="AA157" i="8" s="1"/>
  <c r="X157" i="8"/>
  <c r="Y157" i="8" s="1"/>
  <c r="S177" i="8"/>
  <c r="T177" i="8" s="1"/>
  <c r="AN111" i="8"/>
  <c r="AQ111" i="8" s="1"/>
  <c r="AR111" i="8" s="1"/>
  <c r="U176" i="8"/>
  <c r="W176" i="8" s="1"/>
  <c r="X176" i="8" s="1"/>
  <c r="Y176" i="8" s="1"/>
  <c r="Z111" i="8"/>
  <c r="AA111" i="8" s="1"/>
  <c r="AN136" i="8"/>
  <c r="AQ136" i="8" s="1"/>
  <c r="AR136" i="8" s="1"/>
  <c r="S152" i="8"/>
  <c r="T152" i="8" s="1"/>
  <c r="Z136" i="8"/>
  <c r="AA136" i="8" s="1"/>
  <c r="AN148" i="8"/>
  <c r="AQ148" i="8" s="1"/>
  <c r="AR148" i="8" s="1"/>
  <c r="X76" i="8"/>
  <c r="Y76" i="8" s="1"/>
  <c r="X166" i="8"/>
  <c r="Y166" i="8" s="1"/>
  <c r="Z85" i="8"/>
  <c r="AA85" i="8" s="1"/>
  <c r="X134" i="8"/>
  <c r="Y134" i="8" s="1"/>
  <c r="Z134" i="8"/>
  <c r="AA134" i="8" s="1"/>
  <c r="Z166" i="8"/>
  <c r="AA166" i="8" s="1"/>
  <c r="X85" i="8"/>
  <c r="Y85" i="8" s="1"/>
  <c r="AN79" i="8"/>
  <c r="AQ79" i="8" s="1"/>
  <c r="AR79" i="8" s="1"/>
  <c r="I152" i="8"/>
  <c r="K152" i="8"/>
  <c r="M152" i="8" s="1"/>
  <c r="Z104" i="8"/>
  <c r="AA104" i="8" s="1"/>
  <c r="Z148" i="8"/>
  <c r="AA148" i="8" s="1"/>
  <c r="AN76" i="8"/>
  <c r="AQ76" i="8" s="1"/>
  <c r="AR76" i="8" s="1"/>
  <c r="K177" i="8"/>
  <c r="M177" i="8" s="1"/>
  <c r="I177" i="8"/>
  <c r="X61" i="8"/>
  <c r="Y61" i="8" s="1"/>
  <c r="Z61" i="8"/>
  <c r="AA61" i="8" s="1"/>
  <c r="AN104" i="8"/>
  <c r="AQ104" i="8" s="1"/>
  <c r="AR104" i="8" s="1"/>
  <c r="Z161" i="8"/>
  <c r="AA161" i="8" s="1"/>
  <c r="X161" i="8"/>
  <c r="Y161" i="8" s="1"/>
  <c r="Z74" i="8"/>
  <c r="AA74" i="8" s="1"/>
  <c r="X88" i="8"/>
  <c r="Y88" i="8" s="1"/>
  <c r="Z67" i="8"/>
  <c r="AA67" i="8" s="1"/>
  <c r="Z133" i="8"/>
  <c r="AA133" i="8" s="1"/>
  <c r="X79" i="8"/>
  <c r="Y79" i="8" s="1"/>
  <c r="Z79" i="8"/>
  <c r="AA79" i="8" s="1"/>
  <c r="AN61" i="8"/>
  <c r="AQ61" i="8" s="1"/>
  <c r="AR61" i="8" s="1"/>
  <c r="Z121" i="8"/>
  <c r="AA121" i="8" s="1"/>
  <c r="X121" i="8"/>
  <c r="Y121" i="8" s="1"/>
  <c r="AN91" i="8"/>
  <c r="AQ91" i="8" s="1"/>
  <c r="AR91" i="8" s="1"/>
  <c r="X91" i="8"/>
  <c r="Y91" i="8" s="1"/>
  <c r="AN88" i="8"/>
  <c r="AQ88" i="8" s="1"/>
  <c r="AR88" i="8" s="1"/>
  <c r="Z165" i="8"/>
  <c r="AA165" i="8" s="1"/>
  <c r="Z95" i="8"/>
  <c r="AA95" i="8" s="1"/>
  <c r="X95" i="8"/>
  <c r="Y95" i="8" s="1"/>
  <c r="Z114" i="8"/>
  <c r="AA114" i="8" s="1"/>
  <c r="X114" i="8"/>
  <c r="Y114" i="8" s="1"/>
  <c r="X165" i="8"/>
  <c r="Y165" i="8" s="1"/>
  <c r="AN67" i="8"/>
  <c r="AQ67" i="8" s="1"/>
  <c r="AR67" i="8" s="1"/>
  <c r="Z53" i="8"/>
  <c r="AA53" i="8" s="1"/>
  <c r="X53" i="8"/>
  <c r="Y53" i="8" s="1"/>
  <c r="X67" i="8"/>
  <c r="Y67" i="8" s="1"/>
  <c r="AN53" i="8"/>
  <c r="AQ53" i="8" s="1"/>
  <c r="AR53" i="8" s="1"/>
  <c r="AN126" i="8"/>
  <c r="AQ126" i="8" s="1"/>
  <c r="AR126" i="8" s="1"/>
  <c r="Z126" i="8"/>
  <c r="AA126" i="8" s="1"/>
  <c r="X57" i="8"/>
  <c r="Y57" i="8" s="1"/>
  <c r="Z154" i="8"/>
  <c r="AA154" i="8" s="1"/>
  <c r="Z170" i="8"/>
  <c r="AA170" i="8" s="1"/>
  <c r="X94" i="8"/>
  <c r="Y94" i="8" s="1"/>
  <c r="Z147" i="8"/>
  <c r="AA147" i="8" s="1"/>
  <c r="X101" i="8"/>
  <c r="Y101" i="8" s="1"/>
  <c r="X89" i="8"/>
  <c r="Y89" i="8" s="1"/>
  <c r="AN89" i="8"/>
  <c r="AQ89" i="8" s="1"/>
  <c r="AR89" i="8" s="1"/>
  <c r="Z65" i="8"/>
  <c r="AA65" i="8" s="1"/>
  <c r="AN65" i="8"/>
  <c r="AQ65" i="8" s="1"/>
  <c r="AR65" i="8" s="1"/>
  <c r="Z156" i="8"/>
  <c r="AA156" i="8" s="1"/>
  <c r="AN156" i="8"/>
  <c r="AQ156" i="8" s="1"/>
  <c r="AR156" i="8" s="1"/>
  <c r="AN128" i="8"/>
  <c r="AQ128" i="8" s="1"/>
  <c r="AR128" i="8" s="1"/>
  <c r="Z64" i="8"/>
  <c r="AA64" i="8" s="1"/>
  <c r="AN64" i="8"/>
  <c r="AQ64" i="8" s="1"/>
  <c r="AR64" i="8" s="1"/>
  <c r="Z124" i="8"/>
  <c r="AA124" i="8" s="1"/>
  <c r="AN124" i="8"/>
  <c r="AQ124" i="8" s="1"/>
  <c r="AR124" i="8" s="1"/>
  <c r="Z129" i="8"/>
  <c r="AA129" i="8" s="1"/>
  <c r="AN129" i="8"/>
  <c r="AQ129" i="8" s="1"/>
  <c r="AR129" i="8" s="1"/>
  <c r="X138" i="8"/>
  <c r="Y138" i="8" s="1"/>
  <c r="AN138" i="8"/>
  <c r="AQ138" i="8" s="1"/>
  <c r="AR138" i="8" s="1"/>
  <c r="Z171" i="8"/>
  <c r="AA171" i="8" s="1"/>
  <c r="AN171" i="8"/>
  <c r="AQ171" i="8" s="1"/>
  <c r="AR171" i="8" s="1"/>
  <c r="X56" i="8"/>
  <c r="Y56" i="8" s="1"/>
  <c r="AN56" i="8"/>
  <c r="AQ56" i="8" s="1"/>
  <c r="AR56" i="8" s="1"/>
  <c r="X103" i="8"/>
  <c r="Y103" i="8" s="1"/>
  <c r="AN103" i="8"/>
  <c r="AQ103" i="8" s="1"/>
  <c r="AR103" i="8" s="1"/>
  <c r="Z99" i="8"/>
  <c r="AA99" i="8" s="1"/>
  <c r="AN99" i="8"/>
  <c r="AQ99" i="8" s="1"/>
  <c r="AR99" i="8" s="1"/>
  <c r="X75" i="8"/>
  <c r="Y75" i="8" s="1"/>
  <c r="AN75" i="8"/>
  <c r="AQ75" i="8" s="1"/>
  <c r="AR75" i="8" s="1"/>
  <c r="AO165" i="8"/>
  <c r="AP165" i="8" s="1"/>
  <c r="X139" i="8"/>
  <c r="Y139" i="8" s="1"/>
  <c r="AN139" i="8"/>
  <c r="AQ139" i="8" s="1"/>
  <c r="AR139" i="8" s="1"/>
  <c r="X142" i="8"/>
  <c r="Y142" i="8" s="1"/>
  <c r="AN142" i="8"/>
  <c r="AQ142" i="8" s="1"/>
  <c r="AR142" i="8" s="1"/>
  <c r="AO115" i="8"/>
  <c r="AP115" i="8" s="1"/>
  <c r="X100" i="8"/>
  <c r="Y100" i="8" s="1"/>
  <c r="AN100" i="8"/>
  <c r="AQ100" i="8" s="1"/>
  <c r="AR100" i="8" s="1"/>
  <c r="Z63" i="8"/>
  <c r="AA63" i="8" s="1"/>
  <c r="AN63" i="8"/>
  <c r="AQ63" i="8" s="1"/>
  <c r="AR63" i="8" s="1"/>
  <c r="Z139" i="8"/>
  <c r="AA139" i="8" s="1"/>
  <c r="X80" i="8"/>
  <c r="Y80" i="8" s="1"/>
  <c r="AN80" i="8"/>
  <c r="AQ80" i="8" s="1"/>
  <c r="AR80" i="8" s="1"/>
  <c r="AN125" i="8"/>
  <c r="AQ125" i="8" s="1"/>
  <c r="AR125" i="8" s="1"/>
  <c r="AO85" i="8"/>
  <c r="AP85" i="8" s="1"/>
  <c r="Z62" i="8"/>
  <c r="AA62" i="8" s="1"/>
  <c r="AN62" i="8"/>
  <c r="AQ62" i="8" s="1"/>
  <c r="AR62" i="8" s="1"/>
  <c r="Z116" i="8"/>
  <c r="AA116" i="8" s="1"/>
  <c r="AN116" i="8"/>
  <c r="AQ116" i="8" s="1"/>
  <c r="AR116" i="8" s="1"/>
  <c r="X81" i="8"/>
  <c r="Y81" i="8" s="1"/>
  <c r="AN81" i="8"/>
  <c r="AQ81" i="8" s="1"/>
  <c r="AR81" i="8" s="1"/>
  <c r="X52" i="8"/>
  <c r="AN52" i="8"/>
  <c r="AQ52" i="8" s="1"/>
  <c r="AR52" i="8" s="1"/>
  <c r="X93" i="8"/>
  <c r="Y93" i="8" s="1"/>
  <c r="AN93" i="8"/>
  <c r="AQ93" i="8" s="1"/>
  <c r="AR93" i="8" s="1"/>
  <c r="X102" i="8"/>
  <c r="Y102" i="8" s="1"/>
  <c r="AN102" i="8"/>
  <c r="AQ102" i="8" s="1"/>
  <c r="AR102" i="8" s="1"/>
  <c r="Z146" i="8"/>
  <c r="AA146" i="8" s="1"/>
  <c r="AN146" i="8"/>
  <c r="AQ146" i="8" s="1"/>
  <c r="AR146" i="8" s="1"/>
  <c r="Z84" i="8"/>
  <c r="AA84" i="8" s="1"/>
  <c r="AN84" i="8"/>
  <c r="AQ84" i="8" s="1"/>
  <c r="AR84" i="8" s="1"/>
  <c r="AN57" i="8"/>
  <c r="AQ57" i="8" s="1"/>
  <c r="AR57" i="8" s="1"/>
  <c r="Z122" i="8"/>
  <c r="AA122" i="8" s="1"/>
  <c r="AN122" i="8"/>
  <c r="AQ122" i="8" s="1"/>
  <c r="AR122" i="8" s="1"/>
  <c r="Z141" i="8"/>
  <c r="AA141" i="8" s="1"/>
  <c r="AN141" i="8"/>
  <c r="AQ141" i="8" s="1"/>
  <c r="AR141" i="8" s="1"/>
  <c r="AN147" i="8"/>
  <c r="AQ147" i="8" s="1"/>
  <c r="AR147" i="8" s="1"/>
  <c r="X131" i="8"/>
  <c r="Y131" i="8" s="1"/>
  <c r="AN131" i="8"/>
  <c r="AQ131" i="8" s="1"/>
  <c r="AR131" i="8" s="1"/>
  <c r="AN101" i="8"/>
  <c r="AQ101" i="8" s="1"/>
  <c r="AR101" i="8" s="1"/>
  <c r="X51" i="8"/>
  <c r="Y51" i="8" s="1"/>
  <c r="AN51" i="8"/>
  <c r="AQ51" i="8" s="1"/>
  <c r="AR51" i="8" s="1"/>
  <c r="AN54" i="8"/>
  <c r="AQ54" i="8" s="1"/>
  <c r="AR54" i="8" s="1"/>
  <c r="AO95" i="8"/>
  <c r="AP95" i="8" s="1"/>
  <c r="X162" i="8"/>
  <c r="Y162" i="8" s="1"/>
  <c r="AN162" i="8"/>
  <c r="AQ162" i="8" s="1"/>
  <c r="AR162" i="8" s="1"/>
  <c r="X119" i="8"/>
  <c r="Y119" i="8" s="1"/>
  <c r="AN119" i="8"/>
  <c r="AQ119" i="8" s="1"/>
  <c r="AR119" i="8" s="1"/>
  <c r="AN154" i="8"/>
  <c r="AQ154" i="8" s="1"/>
  <c r="AR154" i="8" s="1"/>
  <c r="X54" i="8"/>
  <c r="Y54" i="8" s="1"/>
  <c r="AN77" i="8"/>
  <c r="AQ77" i="8" s="1"/>
  <c r="AR77" i="8" s="1"/>
  <c r="X71" i="8"/>
  <c r="Y71" i="8" s="1"/>
  <c r="AN71" i="8"/>
  <c r="AQ71" i="8" s="1"/>
  <c r="AR71" i="8" s="1"/>
  <c r="Z144" i="8"/>
  <c r="AA144" i="8" s="1"/>
  <c r="AN144" i="8"/>
  <c r="AQ144" i="8" s="1"/>
  <c r="AR144" i="8" s="1"/>
  <c r="X112" i="8"/>
  <c r="Y112" i="8" s="1"/>
  <c r="AN112" i="8"/>
  <c r="AQ112" i="8" s="1"/>
  <c r="AR112" i="8" s="1"/>
  <c r="X174" i="8"/>
  <c r="Y174" i="8" s="1"/>
  <c r="AN174" i="8"/>
  <c r="AQ174" i="8" s="1"/>
  <c r="AR174" i="8" s="1"/>
  <c r="AN94" i="8"/>
  <c r="AQ94" i="8" s="1"/>
  <c r="AR94" i="8" s="1"/>
  <c r="Z83" i="8"/>
  <c r="AA83" i="8" s="1"/>
  <c r="AN83" i="8"/>
  <c r="AQ83" i="8" s="1"/>
  <c r="AR83" i="8" s="1"/>
  <c r="X155" i="8"/>
  <c r="Y155" i="8" s="1"/>
  <c r="AN155" i="8"/>
  <c r="AQ155" i="8" s="1"/>
  <c r="AR155" i="8" s="1"/>
  <c r="X86" i="8"/>
  <c r="Y86" i="8" s="1"/>
  <c r="AN86" i="8"/>
  <c r="AQ86" i="8" s="1"/>
  <c r="AR86" i="8" s="1"/>
  <c r="Z118" i="8"/>
  <c r="AA118" i="8" s="1"/>
  <c r="AN118" i="8"/>
  <c r="AQ118" i="8" s="1"/>
  <c r="AR118" i="8" s="1"/>
  <c r="Z50" i="8"/>
  <c r="AA50" i="8" s="1"/>
  <c r="AN50" i="8"/>
  <c r="AQ50" i="8" s="1"/>
  <c r="AR50" i="8" s="1"/>
  <c r="AO134" i="8"/>
  <c r="AP134" i="8" s="1"/>
  <c r="X113" i="8"/>
  <c r="Y113" i="8" s="1"/>
  <c r="AN113" i="8"/>
  <c r="AQ113" i="8" s="1"/>
  <c r="AR113" i="8" s="1"/>
  <c r="Z66" i="8"/>
  <c r="AA66" i="8" s="1"/>
  <c r="AN66" i="8"/>
  <c r="AQ66" i="8" s="1"/>
  <c r="AR66" i="8" s="1"/>
  <c r="X92" i="8"/>
  <c r="Y92" i="8" s="1"/>
  <c r="AN92" i="8"/>
  <c r="AQ92" i="8" s="1"/>
  <c r="AR92" i="8" s="1"/>
  <c r="AN153" i="8"/>
  <c r="AQ153" i="8" s="1"/>
  <c r="AR153" i="8" s="1"/>
  <c r="Z117" i="8"/>
  <c r="AA117" i="8" s="1"/>
  <c r="AN117" i="8"/>
  <c r="AQ117" i="8" s="1"/>
  <c r="AR117" i="8" s="1"/>
  <c r="X106" i="8"/>
  <c r="Y106" i="8" s="1"/>
  <c r="AN106" i="8"/>
  <c r="AQ106" i="8" s="1"/>
  <c r="AR106" i="8" s="1"/>
  <c r="X173" i="8"/>
  <c r="Y173" i="8" s="1"/>
  <c r="AN173" i="8"/>
  <c r="AQ173" i="8" s="1"/>
  <c r="AR173" i="8" s="1"/>
  <c r="X110" i="8"/>
  <c r="Y110" i="8" s="1"/>
  <c r="AN110" i="8"/>
  <c r="AQ110" i="8" s="1"/>
  <c r="AR110" i="8" s="1"/>
  <c r="AN58" i="8"/>
  <c r="AQ58" i="8" s="1"/>
  <c r="AR58" i="8" s="1"/>
  <c r="X69" i="8"/>
  <c r="Y69" i="8" s="1"/>
  <c r="AN69" i="8"/>
  <c r="AQ69" i="8" s="1"/>
  <c r="AR69" i="8" s="1"/>
  <c r="X172" i="8"/>
  <c r="Y172" i="8" s="1"/>
  <c r="AN172" i="8"/>
  <c r="AQ172" i="8" s="1"/>
  <c r="AR172" i="8" s="1"/>
  <c r="AN170" i="8"/>
  <c r="AQ170" i="8" s="1"/>
  <c r="AR170" i="8" s="1"/>
  <c r="X73" i="8"/>
  <c r="Y73" i="8" s="1"/>
  <c r="AN73" i="8"/>
  <c r="AQ73" i="8" s="1"/>
  <c r="AR73" i="8" s="1"/>
  <c r="Z128" i="8"/>
  <c r="AA128" i="8" s="1"/>
  <c r="X167" i="8"/>
  <c r="Y167" i="8" s="1"/>
  <c r="AN167" i="8"/>
  <c r="AQ167" i="8" s="1"/>
  <c r="AR167" i="8" s="1"/>
  <c r="AO166" i="8"/>
  <c r="AP166" i="8" s="1"/>
  <c r="Z125" i="8"/>
  <c r="AA125" i="8" s="1"/>
  <c r="X150" i="8"/>
  <c r="Y150" i="8" s="1"/>
  <c r="AN150" i="8"/>
  <c r="AQ150" i="8" s="1"/>
  <c r="AR150" i="8" s="1"/>
  <c r="X68" i="8"/>
  <c r="Y68" i="8" s="1"/>
  <c r="AN68" i="8"/>
  <c r="AQ68" i="8" s="1"/>
  <c r="AR68" i="8" s="1"/>
  <c r="X105" i="8"/>
  <c r="Y105" i="8" s="1"/>
  <c r="AN105" i="8"/>
  <c r="AQ105" i="8" s="1"/>
  <c r="AR105" i="8" s="1"/>
  <c r="X137" i="8"/>
  <c r="Y137" i="8" s="1"/>
  <c r="AN137" i="8"/>
  <c r="AQ137" i="8" s="1"/>
  <c r="AR137" i="8" s="1"/>
  <c r="AO121" i="8"/>
  <c r="AP121" i="8" s="1"/>
  <c r="AO161" i="8"/>
  <c r="AP161" i="8" s="1"/>
  <c r="AO114" i="8"/>
  <c r="AP114" i="8" s="1"/>
  <c r="X135" i="8"/>
  <c r="Y135" i="8" s="1"/>
  <c r="AN135" i="8"/>
  <c r="AQ135" i="8" s="1"/>
  <c r="AR135" i="8" s="1"/>
  <c r="X72" i="8"/>
  <c r="Y72" i="8" s="1"/>
  <c r="AN72" i="8"/>
  <c r="AQ72" i="8" s="1"/>
  <c r="AR72" i="8" s="1"/>
  <c r="Z87" i="8"/>
  <c r="AA87" i="8" s="1"/>
  <c r="AN87" i="8"/>
  <c r="AQ87" i="8" s="1"/>
  <c r="AR87" i="8" s="1"/>
  <c r="X78" i="8"/>
  <c r="Y78" i="8" s="1"/>
  <c r="AN78" i="8"/>
  <c r="AQ78" i="8" s="1"/>
  <c r="AR78" i="8" s="1"/>
  <c r="X160" i="8"/>
  <c r="Y160" i="8" s="1"/>
  <c r="AN160" i="8"/>
  <c r="AQ160" i="8" s="1"/>
  <c r="AR160" i="8" s="1"/>
  <c r="X90" i="8"/>
  <c r="Y90" i="8" s="1"/>
  <c r="AN90" i="8"/>
  <c r="AQ90" i="8" s="1"/>
  <c r="AR90" i="8" s="1"/>
  <c r="AN120" i="8"/>
  <c r="AQ120" i="8" s="1"/>
  <c r="AR120" i="8" s="1"/>
  <c r="Z82" i="8"/>
  <c r="AA82" i="8" s="1"/>
  <c r="AN82" i="8"/>
  <c r="AQ82" i="8" s="1"/>
  <c r="AR82" i="8" s="1"/>
  <c r="X128" i="8"/>
  <c r="Y128" i="8" s="1"/>
  <c r="X109" i="8"/>
  <c r="Y109" i="8" s="1"/>
  <c r="AN109" i="8"/>
  <c r="AQ109" i="8" s="1"/>
  <c r="AR109" i="8" s="1"/>
  <c r="Z159" i="8"/>
  <c r="AA159" i="8" s="1"/>
  <c r="AN159" i="8"/>
  <c r="AQ159" i="8" s="1"/>
  <c r="AR159" i="8" s="1"/>
  <c r="X168" i="8"/>
  <c r="Y168" i="8" s="1"/>
  <c r="AN168" i="8"/>
  <c r="AQ168" i="8" s="1"/>
  <c r="AR168" i="8" s="1"/>
  <c r="X70" i="8"/>
  <c r="Y70" i="8" s="1"/>
  <c r="AN70" i="8"/>
  <c r="AQ70" i="8" s="1"/>
  <c r="AR70" i="8" s="1"/>
  <c r="Z130" i="8"/>
  <c r="AA130" i="8" s="1"/>
  <c r="AN130" i="8"/>
  <c r="AQ130" i="8" s="1"/>
  <c r="AR130" i="8" s="1"/>
  <c r="Z169" i="8"/>
  <c r="AA169" i="8" s="1"/>
  <c r="AN169" i="8"/>
  <c r="AQ169" i="8" s="1"/>
  <c r="AR169" i="8" s="1"/>
  <c r="AN74" i="8"/>
  <c r="AQ74" i="8" s="1"/>
  <c r="AR74" i="8" s="1"/>
  <c r="AN133" i="8"/>
  <c r="AQ133" i="8" s="1"/>
  <c r="AR133" i="8" s="1"/>
  <c r="Z175" i="8"/>
  <c r="AA175" i="8" s="1"/>
  <c r="AN175" i="8"/>
  <c r="AQ175" i="8" s="1"/>
  <c r="AR175" i="8" s="1"/>
  <c r="Z143" i="8"/>
  <c r="AA143" i="8" s="1"/>
  <c r="AN143" i="8"/>
  <c r="AQ143" i="8" s="1"/>
  <c r="AR143" i="8" s="1"/>
  <c r="X149" i="8"/>
  <c r="Y149" i="8" s="1"/>
  <c r="AN149" i="8"/>
  <c r="AQ149" i="8" s="1"/>
  <c r="AR149" i="8" s="1"/>
  <c r="X55" i="8"/>
  <c r="Y55" i="8" s="1"/>
  <c r="AN55" i="8"/>
  <c r="AQ55" i="8" s="1"/>
  <c r="AR55" i="8" s="1"/>
  <c r="X145" i="8"/>
  <c r="Y145" i="8" s="1"/>
  <c r="AN145" i="8"/>
  <c r="AQ145" i="8" s="1"/>
  <c r="AR145" i="8" s="1"/>
  <c r="Z132" i="8"/>
  <c r="AA132" i="8" s="1"/>
  <c r="AN132" i="8"/>
  <c r="AQ132" i="8" s="1"/>
  <c r="AR132" i="8" s="1"/>
  <c r="X60" i="8"/>
  <c r="Y60" i="8" s="1"/>
  <c r="AN60" i="8"/>
  <c r="AQ60" i="8" s="1"/>
  <c r="AR60" i="8" s="1"/>
  <c r="Z96" i="8"/>
  <c r="AA96" i="8" s="1"/>
  <c r="AN96" i="8"/>
  <c r="AQ96" i="8" s="1"/>
  <c r="AR96" i="8" s="1"/>
  <c r="X107" i="8"/>
  <c r="Y107" i="8" s="1"/>
  <c r="AN107" i="8"/>
  <c r="AQ107" i="8" s="1"/>
  <c r="AR107" i="8" s="1"/>
  <c r="X163" i="8"/>
  <c r="Y163" i="8" s="1"/>
  <c r="AN163" i="8"/>
  <c r="AQ163" i="8" s="1"/>
  <c r="AR163" i="8" s="1"/>
  <c r="Z158" i="8"/>
  <c r="AA158" i="8" s="1"/>
  <c r="AN158" i="8"/>
  <c r="AQ158" i="8" s="1"/>
  <c r="AR158" i="8" s="1"/>
  <c r="AO140" i="8"/>
  <c r="AP140" i="8" s="1"/>
  <c r="Z55" i="8"/>
  <c r="AA55" i="8" s="1"/>
  <c r="X141" i="8"/>
  <c r="Y141" i="8" s="1"/>
  <c r="X83" i="8"/>
  <c r="Y83" i="8" s="1"/>
  <c r="Z137" i="8"/>
  <c r="AA137" i="8" s="1"/>
  <c r="X169" i="8"/>
  <c r="Y169" i="8" s="1"/>
  <c r="X158" i="8"/>
  <c r="Y158" i="8" s="1"/>
  <c r="X130" i="8"/>
  <c r="Y130" i="8" s="1"/>
  <c r="Z174" i="8"/>
  <c r="AA174" i="8" s="1"/>
  <c r="Z75" i="8"/>
  <c r="AA75" i="8" s="1"/>
  <c r="Z112" i="8"/>
  <c r="AA112" i="8" s="1"/>
  <c r="Z51" i="8"/>
  <c r="AA51" i="8" s="1"/>
  <c r="X144" i="8"/>
  <c r="Y144" i="8" s="1"/>
  <c r="Z81" i="8"/>
  <c r="AA81" i="8" s="1"/>
  <c r="X146" i="8"/>
  <c r="Y146" i="8" s="1"/>
  <c r="Z110" i="8"/>
  <c r="AA110" i="8" s="1"/>
  <c r="Z89" i="8"/>
  <c r="AA89" i="8" s="1"/>
  <c r="Z155" i="8"/>
  <c r="AA155" i="8" s="1"/>
  <c r="Z71" i="8"/>
  <c r="AA71" i="8" s="1"/>
  <c r="Z70" i="8"/>
  <c r="AA70" i="8" s="1"/>
  <c r="Z103" i="8"/>
  <c r="AA103" i="8" s="1"/>
  <c r="X171" i="8"/>
  <c r="Y171" i="8" s="1"/>
  <c r="Z138" i="8"/>
  <c r="AA138" i="8" s="1"/>
  <c r="Z52" i="8"/>
  <c r="AA52" i="8" s="1"/>
  <c r="X50" i="8"/>
  <c r="Y50" i="8" s="1"/>
  <c r="X64" i="8"/>
  <c r="Y64" i="8" s="1"/>
  <c r="Z149" i="8"/>
  <c r="AA149" i="8" s="1"/>
  <c r="X132" i="8"/>
  <c r="Y132" i="8" s="1"/>
  <c r="X156" i="8"/>
  <c r="Y156" i="8" s="1"/>
  <c r="X99" i="8"/>
  <c r="Y99" i="8" s="1"/>
  <c r="X118" i="8"/>
  <c r="Y118" i="8" s="1"/>
  <c r="X63" i="8"/>
  <c r="Y63" i="8" s="1"/>
  <c r="X82" i="8"/>
  <c r="Y82" i="8" s="1"/>
  <c r="Z119" i="8"/>
  <c r="AA119" i="8" s="1"/>
  <c r="X62" i="8"/>
  <c r="Y62" i="8" s="1"/>
  <c r="X65" i="8"/>
  <c r="Y65" i="8" s="1"/>
  <c r="Z80" i="8"/>
  <c r="AA80" i="8" s="1"/>
  <c r="Z167" i="8"/>
  <c r="AA167" i="8" s="1"/>
  <c r="X159" i="8"/>
  <c r="Y159" i="8" s="1"/>
  <c r="X116" i="8"/>
  <c r="Y116" i="8" s="1"/>
  <c r="Z109" i="8"/>
  <c r="AA109" i="8" s="1"/>
  <c r="Z162" i="8"/>
  <c r="AA162" i="8" s="1"/>
  <c r="Z73" i="8"/>
  <c r="AA73" i="8" s="1"/>
  <c r="Z90" i="8"/>
  <c r="AA90" i="8" s="1"/>
  <c r="Z102" i="8"/>
  <c r="AA102" i="8" s="1"/>
  <c r="Z131" i="8"/>
  <c r="AA131" i="8" s="1"/>
  <c r="Z56" i="8"/>
  <c r="AA56" i="8" s="1"/>
  <c r="Z172" i="8"/>
  <c r="AA172" i="8" s="1"/>
  <c r="Z60" i="8"/>
  <c r="AA60" i="8" s="1"/>
  <c r="Z160" i="8"/>
  <c r="AA160" i="8" s="1"/>
  <c r="X143" i="8"/>
  <c r="Y143" i="8" s="1"/>
  <c r="Z72" i="8"/>
  <c r="AA72" i="8" s="1"/>
  <c r="Z107" i="8"/>
  <c r="AA107" i="8" s="1"/>
  <c r="X175" i="8"/>
  <c r="Y175" i="8" s="1"/>
  <c r="X124" i="8"/>
  <c r="Y124" i="8" s="1"/>
  <c r="Z93" i="8"/>
  <c r="AA93" i="8" s="1"/>
  <c r="Z163" i="8"/>
  <c r="AA163" i="8" s="1"/>
  <c r="Z173" i="8"/>
  <c r="AA173" i="8" s="1"/>
  <c r="Z106" i="8"/>
  <c r="AA106" i="8" s="1"/>
  <c r="Z68" i="8"/>
  <c r="AA68" i="8" s="1"/>
  <c r="X117" i="8"/>
  <c r="Y117" i="8" s="1"/>
  <c r="Z105" i="8"/>
  <c r="AA105" i="8" s="1"/>
  <c r="X122" i="8"/>
  <c r="Y122" i="8" s="1"/>
  <c r="Z86" i="8"/>
  <c r="AA86" i="8" s="1"/>
  <c r="Z150" i="8"/>
  <c r="AA150" i="8" s="1"/>
  <c r="Z168" i="8"/>
  <c r="AA168" i="8" s="1"/>
  <c r="X129" i="8"/>
  <c r="Y129" i="8" s="1"/>
  <c r="X96" i="8"/>
  <c r="Y96" i="8" s="1"/>
  <c r="Z78" i="8"/>
  <c r="AA78" i="8" s="1"/>
  <c r="Z145" i="8"/>
  <c r="AA145" i="8" s="1"/>
  <c r="Z135" i="8"/>
  <c r="AA135" i="8" s="1"/>
  <c r="Z69" i="8"/>
  <c r="AA69" i="8" s="1"/>
  <c r="Z142" i="8"/>
  <c r="AA142" i="8" s="1"/>
  <c r="Z100" i="8"/>
  <c r="AA100" i="8" s="1"/>
  <c r="X87" i="8"/>
  <c r="Y87" i="8" s="1"/>
  <c r="Z113" i="8"/>
  <c r="AA113" i="8" s="1"/>
  <c r="X58" i="8"/>
  <c r="Y58" i="8" s="1"/>
  <c r="Z58" i="8"/>
  <c r="AA58" i="8" s="1"/>
  <c r="X77" i="8"/>
  <c r="Y77" i="8" s="1"/>
  <c r="Z77" i="8"/>
  <c r="AA77" i="8" s="1"/>
  <c r="X153" i="8"/>
  <c r="Y153" i="8" s="1"/>
  <c r="Z153" i="8"/>
  <c r="AA153" i="8" s="1"/>
  <c r="X120" i="8"/>
  <c r="Y120" i="8" s="1"/>
  <c r="Z120" i="8"/>
  <c r="AA120" i="8" s="1"/>
  <c r="E57" i="7" l="1"/>
  <c r="G72" i="1"/>
  <c r="G78" i="1" s="1"/>
  <c r="E115" i="7"/>
  <c r="G77" i="1" s="1"/>
  <c r="C41" i="7"/>
  <c r="G24" i="7"/>
  <c r="G21" i="7"/>
  <c r="G23" i="7"/>
  <c r="G22" i="7"/>
  <c r="D40" i="7"/>
  <c r="D56" i="7" s="1"/>
  <c r="Y199" i="8"/>
  <c r="U8" i="8"/>
  <c r="U7" i="8"/>
  <c r="F118" i="1" s="1"/>
  <c r="Z17" i="8"/>
  <c r="U23" i="8" s="1"/>
  <c r="AO123" i="8"/>
  <c r="AP123" i="8" s="1"/>
  <c r="AO164" i="8"/>
  <c r="AP164" i="8" s="1"/>
  <c r="AO108" i="8"/>
  <c r="AP108" i="8" s="1"/>
  <c r="Z127" i="8"/>
  <c r="AA127" i="8" s="1"/>
  <c r="AN127" i="8"/>
  <c r="AQ127" i="8" s="1"/>
  <c r="AR127" i="8" s="1"/>
  <c r="AO98" i="8"/>
  <c r="AP98" i="8" s="1"/>
  <c r="Z151" i="8"/>
  <c r="AA151" i="8" s="1"/>
  <c r="AO97" i="8"/>
  <c r="AP97" i="8" s="1"/>
  <c r="AN151" i="8"/>
  <c r="AQ151" i="8" s="1"/>
  <c r="AR151" i="8" s="1"/>
  <c r="Y52" i="8"/>
  <c r="AO59" i="8"/>
  <c r="AP59" i="8" s="1"/>
  <c r="AO76" i="8"/>
  <c r="AP76" i="8" s="1"/>
  <c r="AO157" i="8"/>
  <c r="AP157" i="8" s="1"/>
  <c r="X151" i="8"/>
  <c r="Y151" i="8" s="1"/>
  <c r="AN176" i="8"/>
  <c r="AQ176" i="8" s="1"/>
  <c r="AR176" i="8" s="1"/>
  <c r="AO111" i="8"/>
  <c r="AP111" i="8" s="1"/>
  <c r="Z176" i="8"/>
  <c r="AA176" i="8" s="1"/>
  <c r="U152" i="8"/>
  <c r="W152" i="8" s="1"/>
  <c r="Z152" i="8" s="1"/>
  <c r="AA152" i="8" s="1"/>
  <c r="AO136" i="8"/>
  <c r="AP136" i="8" s="1"/>
  <c r="AO148" i="8"/>
  <c r="AP148" i="8" s="1"/>
  <c r="U177" i="8"/>
  <c r="W177" i="8" s="1"/>
  <c r="X177" i="8" s="1"/>
  <c r="Y177" i="8" s="1"/>
  <c r="AO104" i="8"/>
  <c r="AP104" i="8" s="1"/>
  <c r="AO79" i="8"/>
  <c r="AP79" i="8" s="1"/>
  <c r="AO91" i="8"/>
  <c r="AP91" i="8" s="1"/>
  <c r="AO61" i="8"/>
  <c r="AP61" i="8" s="1"/>
  <c r="AO88" i="8"/>
  <c r="AP88" i="8" s="1"/>
  <c r="AO126" i="8"/>
  <c r="AP126" i="8" s="1"/>
  <c r="AO53" i="8"/>
  <c r="AP53" i="8" s="1"/>
  <c r="AO67" i="8"/>
  <c r="AP67" i="8" s="1"/>
  <c r="AO175" i="8"/>
  <c r="AP175" i="8" s="1"/>
  <c r="AO174" i="8"/>
  <c r="AP174" i="8" s="1"/>
  <c r="AO146" i="8"/>
  <c r="AP146" i="8" s="1"/>
  <c r="AO68" i="8"/>
  <c r="AP68" i="8" s="1"/>
  <c r="AO135" i="8"/>
  <c r="AP135" i="8" s="1"/>
  <c r="AO138" i="8"/>
  <c r="AP138" i="8" s="1"/>
  <c r="AO66" i="8"/>
  <c r="AP66" i="8" s="1"/>
  <c r="AO155" i="8"/>
  <c r="AP155" i="8" s="1"/>
  <c r="AO80" i="8"/>
  <c r="AP80" i="8" s="1"/>
  <c r="AO113" i="8"/>
  <c r="AP113" i="8" s="1"/>
  <c r="AO99" i="8"/>
  <c r="AP99" i="8" s="1"/>
  <c r="AO71" i="8"/>
  <c r="AP71" i="8" s="1"/>
  <c r="AO109" i="8"/>
  <c r="AP109" i="8" s="1"/>
  <c r="AO160" i="8"/>
  <c r="AP160" i="8" s="1"/>
  <c r="AO106" i="8"/>
  <c r="AP106" i="8" s="1"/>
  <c r="AO124" i="8"/>
  <c r="AP124" i="8" s="1"/>
  <c r="AO167" i="8"/>
  <c r="AP167" i="8" s="1"/>
  <c r="AO84" i="8"/>
  <c r="AP84" i="8" s="1"/>
  <c r="AO132" i="8"/>
  <c r="AP132" i="8" s="1"/>
  <c r="AO94" i="8"/>
  <c r="AP94" i="8" s="1"/>
  <c r="AO119" i="8"/>
  <c r="AP119" i="8" s="1"/>
  <c r="AO128" i="8"/>
  <c r="AP128" i="8" s="1"/>
  <c r="AO72" i="8"/>
  <c r="AP72" i="8" s="1"/>
  <c r="AO92" i="8"/>
  <c r="AP92" i="8" s="1"/>
  <c r="AO158" i="8"/>
  <c r="AP158" i="8" s="1"/>
  <c r="AO141" i="8"/>
  <c r="AP141" i="8" s="1"/>
  <c r="AO55" i="8"/>
  <c r="AP55" i="8" s="1"/>
  <c r="AO173" i="8"/>
  <c r="AP173" i="8" s="1"/>
  <c r="AO130" i="8"/>
  <c r="AP130" i="8" s="1"/>
  <c r="AO69" i="8"/>
  <c r="AP69" i="8" s="1"/>
  <c r="AO63" i="8"/>
  <c r="AP63" i="8" s="1"/>
  <c r="AO103" i="8"/>
  <c r="AP103" i="8" s="1"/>
  <c r="AO118" i="8"/>
  <c r="AP118" i="8" s="1"/>
  <c r="AO147" i="8"/>
  <c r="AP147" i="8" s="1"/>
  <c r="AO168" i="8"/>
  <c r="AP168" i="8" s="1"/>
  <c r="AO90" i="8"/>
  <c r="AP90" i="8" s="1"/>
  <c r="AO142" i="8"/>
  <c r="AP142" i="8" s="1"/>
  <c r="AO150" i="8"/>
  <c r="AP150" i="8" s="1"/>
  <c r="AO170" i="8"/>
  <c r="AP170" i="8" s="1"/>
  <c r="AO96" i="8"/>
  <c r="AP96" i="8" s="1"/>
  <c r="AO143" i="8"/>
  <c r="AP143" i="8" s="1"/>
  <c r="AO77" i="8"/>
  <c r="AP77" i="8" s="1"/>
  <c r="AO139" i="8"/>
  <c r="AP139" i="8" s="1"/>
  <c r="AO171" i="8"/>
  <c r="AP171" i="8" s="1"/>
  <c r="AO82" i="8"/>
  <c r="AP82" i="8" s="1"/>
  <c r="AO62" i="8"/>
  <c r="AP62" i="8" s="1"/>
  <c r="AO73" i="8"/>
  <c r="AP73" i="8" s="1"/>
  <c r="AO156" i="8"/>
  <c r="AP156" i="8" s="1"/>
  <c r="AO74" i="8"/>
  <c r="AP74" i="8" s="1"/>
  <c r="AO122" i="8"/>
  <c r="AP122" i="8" s="1"/>
  <c r="AO169" i="8"/>
  <c r="AP169" i="8" s="1"/>
  <c r="AO129" i="8"/>
  <c r="AP129" i="8" s="1"/>
  <c r="AO107" i="8"/>
  <c r="AP107" i="8" s="1"/>
  <c r="AO51" i="8"/>
  <c r="AP51" i="8" s="1"/>
  <c r="AO78" i="8"/>
  <c r="AP78" i="8" s="1"/>
  <c r="AO117" i="8"/>
  <c r="AP117" i="8" s="1"/>
  <c r="AO75" i="8"/>
  <c r="AP75" i="8" s="1"/>
  <c r="AO145" i="8"/>
  <c r="AP145" i="8" s="1"/>
  <c r="AO112" i="8"/>
  <c r="AP112" i="8" s="1"/>
  <c r="AO125" i="8"/>
  <c r="AP125" i="8" s="1"/>
  <c r="AO93" i="8"/>
  <c r="AP93" i="8" s="1"/>
  <c r="AO54" i="8"/>
  <c r="AP54" i="8" s="1"/>
  <c r="AO83" i="8"/>
  <c r="AP83" i="8" s="1"/>
  <c r="AO52" i="8"/>
  <c r="AP52" i="8" s="1"/>
  <c r="AO70" i="8"/>
  <c r="AP70" i="8" s="1"/>
  <c r="AO58" i="8"/>
  <c r="AP58" i="8" s="1"/>
  <c r="AO101" i="8"/>
  <c r="AP101" i="8" s="1"/>
  <c r="AO81" i="8"/>
  <c r="AP81" i="8" s="1"/>
  <c r="AO100" i="8"/>
  <c r="AP100" i="8" s="1"/>
  <c r="AO56" i="8"/>
  <c r="AP56" i="8" s="1"/>
  <c r="AO64" i="8"/>
  <c r="AP64" i="8" s="1"/>
  <c r="AO86" i="8"/>
  <c r="AP86" i="8" s="1"/>
  <c r="AO162" i="8"/>
  <c r="AP162" i="8" s="1"/>
  <c r="AO110" i="8"/>
  <c r="AP110" i="8" s="1"/>
  <c r="AO163" i="8"/>
  <c r="AP163" i="8" s="1"/>
  <c r="AO172" i="8"/>
  <c r="AP172" i="8" s="1"/>
  <c r="AO65" i="8"/>
  <c r="AP65" i="8" s="1"/>
  <c r="AO149" i="8"/>
  <c r="AP149" i="8" s="1"/>
  <c r="AO60" i="8"/>
  <c r="AP60" i="8" s="1"/>
  <c r="AO137" i="8"/>
  <c r="AP137" i="8" s="1"/>
  <c r="AO50" i="8"/>
  <c r="AP50" i="8" s="1"/>
  <c r="AO154" i="8"/>
  <c r="AP154" i="8" s="1"/>
  <c r="AO57" i="8"/>
  <c r="AP57" i="8" s="1"/>
  <c r="AO89" i="8"/>
  <c r="AP89" i="8" s="1"/>
  <c r="AO116" i="8"/>
  <c r="AP116" i="8" s="1"/>
  <c r="AO105" i="8"/>
  <c r="AP105" i="8" s="1"/>
  <c r="AO120" i="8"/>
  <c r="AP120" i="8" s="1"/>
  <c r="AO159" i="8"/>
  <c r="AP159" i="8" s="1"/>
  <c r="AO102" i="8"/>
  <c r="AP102" i="8" s="1"/>
  <c r="AO133" i="8"/>
  <c r="AP133" i="8" s="1"/>
  <c r="AO144" i="8"/>
  <c r="AP144" i="8" s="1"/>
  <c r="AO87" i="8"/>
  <c r="AP87" i="8" s="1"/>
  <c r="AO153" i="8"/>
  <c r="AP153" i="8" s="1"/>
  <c r="AO131" i="8"/>
  <c r="AP131" i="8" s="1"/>
  <c r="F91" i="1" l="1"/>
  <c r="D57" i="7"/>
  <c r="D68" i="7" s="1"/>
  <c r="J23" i="7"/>
  <c r="J24" i="7" s="1"/>
  <c r="H23" i="7" s="1"/>
  <c r="E36" i="7" s="1"/>
  <c r="E34" i="7"/>
  <c r="AD199" i="8"/>
  <c r="AE199" i="8" s="1"/>
  <c r="AF199" i="8" s="1"/>
  <c r="AC199" i="8"/>
  <c r="U19" i="8"/>
  <c r="L11" i="8" s="1"/>
  <c r="AT98" i="8" s="1"/>
  <c r="U21" i="8"/>
  <c r="L13" i="8" s="1"/>
  <c r="L10" i="8"/>
  <c r="K10" i="8" s="1"/>
  <c r="AO127" i="8"/>
  <c r="AP127" i="8" s="1"/>
  <c r="AO151" i="8"/>
  <c r="AP151" i="8" s="1"/>
  <c r="X152" i="8"/>
  <c r="Y152" i="8" s="1"/>
  <c r="AN152" i="8"/>
  <c r="AQ152" i="8" s="1"/>
  <c r="AR152" i="8" s="1"/>
  <c r="AO176" i="8"/>
  <c r="AP176" i="8" s="1"/>
  <c r="AN177" i="8"/>
  <c r="Z177" i="8"/>
  <c r="AA177" i="8" s="1"/>
  <c r="E37" i="7" l="1"/>
  <c r="E54" i="7" s="1"/>
  <c r="AT110" i="8"/>
  <c r="AT63" i="8"/>
  <c r="U20" i="8"/>
  <c r="U22" i="8" s="1"/>
  <c r="L9" i="8" s="1"/>
  <c r="K9" i="8" s="1"/>
  <c r="F125" i="1" s="1"/>
  <c r="K11" i="8"/>
  <c r="F129" i="1" s="1"/>
  <c r="AT73" i="8"/>
  <c r="AT97" i="8"/>
  <c r="AT108" i="8"/>
  <c r="AT150" i="8"/>
  <c r="AT58" i="8"/>
  <c r="AT82" i="8"/>
  <c r="AT146" i="8"/>
  <c r="AT102" i="8"/>
  <c r="AT113" i="8"/>
  <c r="AT175" i="8"/>
  <c r="AT71" i="8"/>
  <c r="AT160" i="8"/>
  <c r="AT92" i="8"/>
  <c r="AT118" i="8"/>
  <c r="AT81" i="8"/>
  <c r="AT85" i="8"/>
  <c r="AT121" i="8"/>
  <c r="AT103" i="8"/>
  <c r="AT139" i="8"/>
  <c r="AT144" i="8"/>
  <c r="AT149" i="8"/>
  <c r="AT100" i="8"/>
  <c r="AT112" i="8"/>
  <c r="AT123" i="8"/>
  <c r="AT96" i="8"/>
  <c r="AT116" i="8"/>
  <c r="AT126" i="8"/>
  <c r="AT104" i="8"/>
  <c r="AT141" i="8"/>
  <c r="AT166" i="8"/>
  <c r="AT107" i="8"/>
  <c r="AT154" i="8"/>
  <c r="AT145" i="8"/>
  <c r="AT117" i="8"/>
  <c r="AT128" i="8"/>
  <c r="AT177" i="8"/>
  <c r="AT60" i="8"/>
  <c r="AT68" i="8"/>
  <c r="AT136" i="8"/>
  <c r="AT134" i="8"/>
  <c r="AT159" i="8"/>
  <c r="AT106" i="8"/>
  <c r="AT122" i="8"/>
  <c r="AT133" i="8"/>
  <c r="AT86" i="8"/>
  <c r="AT50" i="8"/>
  <c r="AT64" i="8"/>
  <c r="AT74" i="8"/>
  <c r="AT99" i="8"/>
  <c r="AT79" i="8"/>
  <c r="AT65" i="8"/>
  <c r="AT127" i="8"/>
  <c r="AT138" i="8"/>
  <c r="AT101" i="8"/>
  <c r="AT62" i="8"/>
  <c r="AT59" i="8"/>
  <c r="AT95" i="8"/>
  <c r="AT132" i="8"/>
  <c r="AT143" i="8"/>
  <c r="AT94" i="8"/>
  <c r="AT115" i="8"/>
  <c r="AT162" i="8"/>
  <c r="AT148" i="8"/>
  <c r="AT66" i="8"/>
  <c r="AT131" i="8"/>
  <c r="AT54" i="8"/>
  <c r="AT170" i="8"/>
  <c r="AT167" i="8"/>
  <c r="AT111" i="8"/>
  <c r="AT84" i="8"/>
  <c r="AT69" i="8"/>
  <c r="AT61" i="8"/>
  <c r="AT172" i="8"/>
  <c r="AT153" i="8"/>
  <c r="AT164" i="8"/>
  <c r="AT151" i="8"/>
  <c r="AT67" i="8"/>
  <c r="AT130" i="8"/>
  <c r="AT158" i="8"/>
  <c r="AT169" i="8"/>
  <c r="AT156" i="8"/>
  <c r="AT72" i="8"/>
  <c r="AT135" i="8"/>
  <c r="AT163" i="8"/>
  <c r="AT174" i="8"/>
  <c r="AT161" i="8"/>
  <c r="AT77" i="8"/>
  <c r="AT56" i="8"/>
  <c r="AT168" i="8"/>
  <c r="AT55" i="8"/>
  <c r="AT70" i="8"/>
  <c r="AT87" i="8"/>
  <c r="AT53" i="8"/>
  <c r="AT173" i="8"/>
  <c r="AT109" i="8"/>
  <c r="AT171" i="8"/>
  <c r="AT51" i="8"/>
  <c r="AT78" i="8"/>
  <c r="AT165" i="8"/>
  <c r="AT114" i="8"/>
  <c r="AT120" i="8"/>
  <c r="AT176" i="8"/>
  <c r="AT76" i="8"/>
  <c r="AT142" i="8"/>
  <c r="AT83" i="8"/>
  <c r="AT125" i="8"/>
  <c r="AT119" i="8"/>
  <c r="AT75" i="8"/>
  <c r="AT80" i="8"/>
  <c r="AT91" i="8"/>
  <c r="AT147" i="8"/>
  <c r="AT88" i="8"/>
  <c r="AT178" i="8"/>
  <c r="AT124" i="8"/>
  <c r="AT140" i="8"/>
  <c r="AT105" i="8"/>
  <c r="AT52" i="8"/>
  <c r="AT152" i="8"/>
  <c r="AT93" i="8"/>
  <c r="AT89" i="8"/>
  <c r="AT137" i="8"/>
  <c r="AT129" i="8"/>
  <c r="AT90" i="8"/>
  <c r="AT155" i="8"/>
  <c r="AT57" i="8"/>
  <c r="AT157" i="8"/>
  <c r="AX178" i="8"/>
  <c r="AY178" i="8" s="1"/>
  <c r="AX65" i="8"/>
  <c r="AY65" i="8" s="1"/>
  <c r="AX177" i="8"/>
  <c r="AY177" i="8" s="1"/>
  <c r="AX172" i="8"/>
  <c r="AY172" i="8" s="1"/>
  <c r="AX167" i="8"/>
  <c r="AY167" i="8" s="1"/>
  <c r="AX162" i="8"/>
  <c r="AY162" i="8" s="1"/>
  <c r="AX157" i="8"/>
  <c r="AY157" i="8" s="1"/>
  <c r="AX152" i="8"/>
  <c r="AY152" i="8" s="1"/>
  <c r="AX147" i="8"/>
  <c r="AY147" i="8" s="1"/>
  <c r="AX142" i="8"/>
  <c r="AY142" i="8" s="1"/>
  <c r="AX137" i="8"/>
  <c r="AY137" i="8" s="1"/>
  <c r="AX132" i="8"/>
  <c r="AY132" i="8" s="1"/>
  <c r="AX127" i="8"/>
  <c r="AY127" i="8" s="1"/>
  <c r="AX122" i="8"/>
  <c r="AY122" i="8" s="1"/>
  <c r="AX117" i="8"/>
  <c r="AY117" i="8" s="1"/>
  <c r="AX112" i="8"/>
  <c r="AY112" i="8" s="1"/>
  <c r="AX107" i="8"/>
  <c r="AY107" i="8" s="1"/>
  <c r="AX102" i="8"/>
  <c r="AY102" i="8" s="1"/>
  <c r="AX97" i="8"/>
  <c r="AY97" i="8" s="1"/>
  <c r="AX92" i="8"/>
  <c r="AY92" i="8" s="1"/>
  <c r="AX87" i="8"/>
  <c r="AY87" i="8" s="1"/>
  <c r="AX82" i="8"/>
  <c r="AY82" i="8" s="1"/>
  <c r="AX77" i="8"/>
  <c r="AY77" i="8" s="1"/>
  <c r="AX72" i="8"/>
  <c r="AY72" i="8" s="1"/>
  <c r="AX67" i="8"/>
  <c r="AY67" i="8" s="1"/>
  <c r="AX62" i="8"/>
  <c r="AY62" i="8" s="1"/>
  <c r="AX57" i="8"/>
  <c r="AY57" i="8" s="1"/>
  <c r="AX52" i="8"/>
  <c r="AY52" i="8" s="1"/>
  <c r="AX55" i="8"/>
  <c r="AY55" i="8" s="1"/>
  <c r="AX176" i="8"/>
  <c r="AY176" i="8" s="1"/>
  <c r="AX171" i="8"/>
  <c r="AY171" i="8" s="1"/>
  <c r="AX166" i="8"/>
  <c r="AY166" i="8" s="1"/>
  <c r="AX161" i="8"/>
  <c r="AY161" i="8" s="1"/>
  <c r="AX156" i="8"/>
  <c r="AY156" i="8" s="1"/>
  <c r="AX151" i="8"/>
  <c r="AY151" i="8" s="1"/>
  <c r="AX146" i="8"/>
  <c r="AY146" i="8" s="1"/>
  <c r="AX141" i="8"/>
  <c r="AY141" i="8" s="1"/>
  <c r="AX136" i="8"/>
  <c r="AY136" i="8" s="1"/>
  <c r="AX131" i="8"/>
  <c r="AY131" i="8" s="1"/>
  <c r="AX126" i="8"/>
  <c r="AY126" i="8" s="1"/>
  <c r="AX121" i="8"/>
  <c r="AY121" i="8" s="1"/>
  <c r="AX116" i="8"/>
  <c r="AY116" i="8" s="1"/>
  <c r="AX111" i="8"/>
  <c r="AY111" i="8" s="1"/>
  <c r="AX106" i="8"/>
  <c r="AY106" i="8" s="1"/>
  <c r="AX101" i="8"/>
  <c r="AY101" i="8" s="1"/>
  <c r="AX96" i="8"/>
  <c r="AY96" i="8" s="1"/>
  <c r="AX91" i="8"/>
  <c r="AY91" i="8" s="1"/>
  <c r="AX86" i="8"/>
  <c r="AY86" i="8" s="1"/>
  <c r="AX81" i="8"/>
  <c r="AY81" i="8" s="1"/>
  <c r="AX76" i="8"/>
  <c r="AY76" i="8" s="1"/>
  <c r="AX71" i="8"/>
  <c r="AY71" i="8" s="1"/>
  <c r="AX66" i="8"/>
  <c r="AY66" i="8" s="1"/>
  <c r="AX61" i="8"/>
  <c r="AY61" i="8" s="1"/>
  <c r="AX56" i="8"/>
  <c r="AY56" i="8" s="1"/>
  <c r="AX51" i="8"/>
  <c r="AY51" i="8" s="1"/>
  <c r="AX70" i="8"/>
  <c r="AY70" i="8" s="1"/>
  <c r="AX175" i="8"/>
  <c r="AY175" i="8" s="1"/>
  <c r="AX170" i="8"/>
  <c r="AY170" i="8" s="1"/>
  <c r="AX165" i="8"/>
  <c r="AY165" i="8" s="1"/>
  <c r="AX160" i="8"/>
  <c r="AY160" i="8" s="1"/>
  <c r="AX155" i="8"/>
  <c r="AY155" i="8" s="1"/>
  <c r="AX150" i="8"/>
  <c r="AY150" i="8" s="1"/>
  <c r="AX145" i="8"/>
  <c r="AY145" i="8" s="1"/>
  <c r="AX140" i="8"/>
  <c r="AY140" i="8" s="1"/>
  <c r="AX135" i="8"/>
  <c r="AY135" i="8" s="1"/>
  <c r="AX130" i="8"/>
  <c r="AY130" i="8" s="1"/>
  <c r="AX125" i="8"/>
  <c r="AY125" i="8" s="1"/>
  <c r="AX120" i="8"/>
  <c r="AY120" i="8" s="1"/>
  <c r="AX115" i="8"/>
  <c r="AY115" i="8" s="1"/>
  <c r="AX110" i="8"/>
  <c r="AY110" i="8" s="1"/>
  <c r="AX105" i="8"/>
  <c r="AY105" i="8" s="1"/>
  <c r="AX100" i="8"/>
  <c r="AY100" i="8" s="1"/>
  <c r="AX95" i="8"/>
  <c r="AY95" i="8" s="1"/>
  <c r="AX90" i="8"/>
  <c r="AY90" i="8" s="1"/>
  <c r="AX85" i="8"/>
  <c r="AY85" i="8" s="1"/>
  <c r="AX80" i="8"/>
  <c r="AY80" i="8" s="1"/>
  <c r="AX75" i="8"/>
  <c r="AY75" i="8" s="1"/>
  <c r="AX60" i="8"/>
  <c r="AY60" i="8" s="1"/>
  <c r="AX174" i="8"/>
  <c r="AY174" i="8" s="1"/>
  <c r="AX169" i="8"/>
  <c r="AY169" i="8" s="1"/>
  <c r="AX164" i="8"/>
  <c r="AY164" i="8" s="1"/>
  <c r="AX159" i="8"/>
  <c r="AY159" i="8" s="1"/>
  <c r="AX154" i="8"/>
  <c r="AY154" i="8" s="1"/>
  <c r="AX149" i="8"/>
  <c r="AY149" i="8" s="1"/>
  <c r="AX144" i="8"/>
  <c r="AY144" i="8" s="1"/>
  <c r="AX139" i="8"/>
  <c r="AY139" i="8" s="1"/>
  <c r="AX134" i="8"/>
  <c r="AY134" i="8" s="1"/>
  <c r="AX129" i="8"/>
  <c r="AY129" i="8" s="1"/>
  <c r="AX124" i="8"/>
  <c r="AY124" i="8" s="1"/>
  <c r="AX119" i="8"/>
  <c r="AY119" i="8" s="1"/>
  <c r="AX114" i="8"/>
  <c r="AY114" i="8" s="1"/>
  <c r="AX109" i="8"/>
  <c r="AY109" i="8" s="1"/>
  <c r="AX104" i="8"/>
  <c r="AY104" i="8" s="1"/>
  <c r="AX99" i="8"/>
  <c r="AY99" i="8" s="1"/>
  <c r="AX94" i="8"/>
  <c r="AY94" i="8" s="1"/>
  <c r="AX89" i="8"/>
  <c r="AY89" i="8" s="1"/>
  <c r="AX84" i="8"/>
  <c r="AY84" i="8" s="1"/>
  <c r="AX79" i="8"/>
  <c r="AY79" i="8" s="1"/>
  <c r="AX74" i="8"/>
  <c r="AY74" i="8" s="1"/>
  <c r="AX69" i="8"/>
  <c r="AY69" i="8" s="1"/>
  <c r="AX64" i="8"/>
  <c r="AY64" i="8" s="1"/>
  <c r="AX59" i="8"/>
  <c r="AY59" i="8" s="1"/>
  <c r="AX54" i="8"/>
  <c r="AY54" i="8" s="1"/>
  <c r="AX168" i="8"/>
  <c r="AY168" i="8" s="1"/>
  <c r="AX143" i="8"/>
  <c r="AY143" i="8" s="1"/>
  <c r="AX118" i="8"/>
  <c r="AY118" i="8" s="1"/>
  <c r="AX93" i="8"/>
  <c r="AY93" i="8" s="1"/>
  <c r="AX73" i="8"/>
  <c r="AY73" i="8" s="1"/>
  <c r="AX58" i="8"/>
  <c r="AY58" i="8" s="1"/>
  <c r="AX158" i="8"/>
  <c r="AY158" i="8" s="1"/>
  <c r="AX148" i="8"/>
  <c r="AY148" i="8" s="1"/>
  <c r="AX133" i="8"/>
  <c r="AY133" i="8" s="1"/>
  <c r="AX123" i="8"/>
  <c r="AY123" i="8" s="1"/>
  <c r="AX108" i="8"/>
  <c r="AY108" i="8" s="1"/>
  <c r="AX88" i="8"/>
  <c r="AY88" i="8" s="1"/>
  <c r="AX68" i="8"/>
  <c r="AY68" i="8" s="1"/>
  <c r="AX163" i="8"/>
  <c r="AY163" i="8" s="1"/>
  <c r="AX138" i="8"/>
  <c r="AY138" i="8" s="1"/>
  <c r="AX113" i="8"/>
  <c r="AY113" i="8" s="1"/>
  <c r="AX98" i="8"/>
  <c r="AY98" i="8" s="1"/>
  <c r="AX78" i="8"/>
  <c r="AY78" i="8" s="1"/>
  <c r="AX53" i="8"/>
  <c r="AY53" i="8" s="1"/>
  <c r="AX153" i="8"/>
  <c r="AY153" i="8" s="1"/>
  <c r="AX128" i="8"/>
  <c r="AY128" i="8" s="1"/>
  <c r="AX103" i="8"/>
  <c r="AY103" i="8" s="1"/>
  <c r="AX83" i="8"/>
  <c r="AY83" i="8" s="1"/>
  <c r="AX63" i="8"/>
  <c r="AY63" i="8" s="1"/>
  <c r="AX173" i="8"/>
  <c r="AY173" i="8" s="1"/>
  <c r="K13" i="8"/>
  <c r="F127" i="1" s="1"/>
  <c r="AX50" i="8"/>
  <c r="AY50" i="8" s="1"/>
  <c r="AO152" i="8"/>
  <c r="AP152" i="8" s="1"/>
  <c r="AQ177" i="8"/>
  <c r="AR177" i="8" s="1"/>
  <c r="AO177" i="8"/>
  <c r="AP177" i="8" s="1"/>
  <c r="E12" i="6"/>
  <c r="C68" i="7" l="1"/>
  <c r="D70" i="7"/>
  <c r="F90" i="1" s="1"/>
  <c r="G104" i="1"/>
  <c r="L12" i="8"/>
  <c r="AU171" i="8" s="1"/>
  <c r="AV171" i="8" s="1"/>
  <c r="AZ171" i="8" s="1"/>
  <c r="U25" i="8" a="1"/>
  <c r="U25" i="8" s="1"/>
  <c r="G116" i="1" s="1"/>
  <c r="E56" i="7" l="1"/>
  <c r="E58" i="7" s="1"/>
  <c r="AU178" i="8"/>
  <c r="AV178" i="8" s="1"/>
  <c r="AZ178" i="8" s="1"/>
  <c r="BA178" i="8" s="1"/>
  <c r="BB178" i="8" s="1"/>
  <c r="AU176" i="8"/>
  <c r="AV176" i="8" s="1"/>
  <c r="AZ176" i="8" s="1"/>
  <c r="BA176" i="8" s="1"/>
  <c r="BB176" i="8" s="1"/>
  <c r="AU124" i="8"/>
  <c r="AV124" i="8" s="1"/>
  <c r="AZ124" i="8" s="1"/>
  <c r="BA124" i="8" s="1"/>
  <c r="BB124" i="8" s="1"/>
  <c r="AU129" i="8"/>
  <c r="AV129" i="8" s="1"/>
  <c r="AZ129" i="8" s="1"/>
  <c r="BC129" i="8" s="1"/>
  <c r="AU139" i="8"/>
  <c r="AV139" i="8" s="1"/>
  <c r="AZ139" i="8" s="1"/>
  <c r="BC139" i="8" s="1"/>
  <c r="AU121" i="8"/>
  <c r="AV121" i="8" s="1"/>
  <c r="AZ121" i="8" s="1"/>
  <c r="BC121" i="8" s="1"/>
  <c r="AU141" i="8"/>
  <c r="AV141" i="8" s="1"/>
  <c r="AZ141" i="8" s="1"/>
  <c r="BA141" i="8" s="1"/>
  <c r="BB141" i="8" s="1"/>
  <c r="AU82" i="8"/>
  <c r="AV82" i="8" s="1"/>
  <c r="AZ82" i="8" s="1"/>
  <c r="BA82" i="8" s="1"/>
  <c r="BB82" i="8" s="1"/>
  <c r="AU92" i="8"/>
  <c r="AV92" i="8" s="1"/>
  <c r="AZ92" i="8" s="1"/>
  <c r="BA92" i="8" s="1"/>
  <c r="BB92" i="8" s="1"/>
  <c r="AU81" i="8"/>
  <c r="AV81" i="8" s="1"/>
  <c r="AZ81" i="8" s="1"/>
  <c r="BA81" i="8" s="1"/>
  <c r="BB81" i="8" s="1"/>
  <c r="AU146" i="8"/>
  <c r="AV146" i="8" s="1"/>
  <c r="AZ146" i="8" s="1"/>
  <c r="BA146" i="8" s="1"/>
  <c r="BB146" i="8" s="1"/>
  <c r="AU53" i="8"/>
  <c r="AV53" i="8" s="1"/>
  <c r="AZ53" i="8" s="1"/>
  <c r="BC53" i="8" s="1"/>
  <c r="AU71" i="8"/>
  <c r="AV71" i="8" s="1"/>
  <c r="AZ71" i="8" s="1"/>
  <c r="BA71" i="8" s="1"/>
  <c r="BB71" i="8" s="1"/>
  <c r="AU96" i="8"/>
  <c r="AV96" i="8" s="1"/>
  <c r="AZ96" i="8" s="1"/>
  <c r="BE96" i="8" s="1"/>
  <c r="AU63" i="8"/>
  <c r="AV63" i="8" s="1"/>
  <c r="AZ63" i="8" s="1"/>
  <c r="BA63" i="8" s="1"/>
  <c r="BB63" i="8" s="1"/>
  <c r="AU61" i="8"/>
  <c r="AV61" i="8" s="1"/>
  <c r="AZ61" i="8" s="1"/>
  <c r="BE61" i="8" s="1"/>
  <c r="AU54" i="8"/>
  <c r="AV54" i="8" s="1"/>
  <c r="AZ54" i="8" s="1"/>
  <c r="BC54" i="8" s="1"/>
  <c r="AU91" i="8"/>
  <c r="AV91" i="8" s="1"/>
  <c r="AZ91" i="8" s="1"/>
  <c r="BC91" i="8" s="1"/>
  <c r="AU79" i="8"/>
  <c r="AV79" i="8" s="1"/>
  <c r="AZ79" i="8" s="1"/>
  <c r="BE79" i="8" s="1"/>
  <c r="AU137" i="8"/>
  <c r="AV137" i="8" s="1"/>
  <c r="AZ137" i="8" s="1"/>
  <c r="BE137" i="8" s="1"/>
  <c r="AU135" i="8"/>
  <c r="AV135" i="8" s="1"/>
  <c r="AZ135" i="8" s="1"/>
  <c r="BE135" i="8" s="1"/>
  <c r="AU98" i="8"/>
  <c r="AV98" i="8" s="1"/>
  <c r="AZ98" i="8" s="1"/>
  <c r="BA98" i="8" s="1"/>
  <c r="BB98" i="8" s="1"/>
  <c r="AU126" i="8"/>
  <c r="AV126" i="8" s="1"/>
  <c r="AZ126" i="8" s="1"/>
  <c r="BC126" i="8" s="1"/>
  <c r="AU109" i="8"/>
  <c r="AV109" i="8" s="1"/>
  <c r="AZ109" i="8" s="1"/>
  <c r="BA109" i="8" s="1"/>
  <c r="BB109" i="8" s="1"/>
  <c r="AU152" i="8"/>
  <c r="AV152" i="8" s="1"/>
  <c r="AZ152" i="8" s="1"/>
  <c r="BE152" i="8" s="1"/>
  <c r="AU150" i="8"/>
  <c r="AV150" i="8" s="1"/>
  <c r="AZ150" i="8" s="1"/>
  <c r="BC150" i="8" s="1"/>
  <c r="AU118" i="8"/>
  <c r="AV118" i="8" s="1"/>
  <c r="AZ118" i="8" s="1"/>
  <c r="BC118" i="8" s="1"/>
  <c r="AU56" i="8"/>
  <c r="AV56" i="8" s="1"/>
  <c r="AZ56" i="8" s="1"/>
  <c r="BC56" i="8" s="1"/>
  <c r="AU74" i="8"/>
  <c r="AV74" i="8" s="1"/>
  <c r="AZ74" i="8" s="1"/>
  <c r="BC74" i="8" s="1"/>
  <c r="AU177" i="8"/>
  <c r="AV177" i="8" s="1"/>
  <c r="AZ177" i="8" s="1"/>
  <c r="BC177" i="8" s="1"/>
  <c r="AU84" i="8"/>
  <c r="AV84" i="8" s="1"/>
  <c r="AZ84" i="8" s="1"/>
  <c r="BE84" i="8" s="1"/>
  <c r="AU136" i="8"/>
  <c r="AV136" i="8" s="1"/>
  <c r="AZ136" i="8" s="1"/>
  <c r="BA136" i="8" s="1"/>
  <c r="BB136" i="8" s="1"/>
  <c r="AU89" i="8"/>
  <c r="AV89" i="8" s="1"/>
  <c r="AZ89" i="8" s="1"/>
  <c r="BE89" i="8" s="1"/>
  <c r="AU52" i="8"/>
  <c r="AV52" i="8" s="1"/>
  <c r="AZ52" i="8" s="1"/>
  <c r="BA52" i="8" s="1"/>
  <c r="BB52" i="8" s="1"/>
  <c r="AU143" i="8"/>
  <c r="AV143" i="8" s="1"/>
  <c r="AZ143" i="8" s="1"/>
  <c r="BC143" i="8" s="1"/>
  <c r="AU50" i="8"/>
  <c r="AV50" i="8" s="1"/>
  <c r="AZ50" i="8" s="1"/>
  <c r="BA50" i="8" s="1"/>
  <c r="BB50" i="8" s="1"/>
  <c r="AU144" i="8"/>
  <c r="AV144" i="8" s="1"/>
  <c r="AZ144" i="8" s="1"/>
  <c r="BA144" i="8" s="1"/>
  <c r="BB144" i="8" s="1"/>
  <c r="AU102" i="8"/>
  <c r="AV102" i="8" s="1"/>
  <c r="AZ102" i="8" s="1"/>
  <c r="BA102" i="8" s="1"/>
  <c r="BB102" i="8" s="1"/>
  <c r="AU58" i="8"/>
  <c r="AV58" i="8" s="1"/>
  <c r="AZ58" i="8" s="1"/>
  <c r="BC58" i="8" s="1"/>
  <c r="AU159" i="8"/>
  <c r="AV159" i="8" s="1"/>
  <c r="AZ159" i="8" s="1"/>
  <c r="BA159" i="8" s="1"/>
  <c r="BB159" i="8" s="1"/>
  <c r="K12" i="8"/>
  <c r="F128" i="1" s="1"/>
  <c r="AU127" i="8"/>
  <c r="AV127" i="8" s="1"/>
  <c r="AZ127" i="8" s="1"/>
  <c r="BC127" i="8" s="1"/>
  <c r="AU85" i="8"/>
  <c r="AV85" i="8" s="1"/>
  <c r="AZ85" i="8" s="1"/>
  <c r="BA85" i="8" s="1"/>
  <c r="BB85" i="8" s="1"/>
  <c r="AU88" i="8"/>
  <c r="AV88" i="8" s="1"/>
  <c r="AZ88" i="8" s="1"/>
  <c r="BC88" i="8" s="1"/>
  <c r="AU106" i="8"/>
  <c r="AV106" i="8" s="1"/>
  <c r="AZ106" i="8" s="1"/>
  <c r="BA106" i="8" s="1"/>
  <c r="BB106" i="8" s="1"/>
  <c r="AU99" i="8"/>
  <c r="AV99" i="8" s="1"/>
  <c r="AZ99" i="8" s="1"/>
  <c r="BA99" i="8" s="1"/>
  <c r="BB99" i="8" s="1"/>
  <c r="AU142" i="8"/>
  <c r="AV142" i="8" s="1"/>
  <c r="AZ142" i="8" s="1"/>
  <c r="BA142" i="8" s="1"/>
  <c r="BB142" i="8" s="1"/>
  <c r="AU140" i="8"/>
  <c r="AV140" i="8" s="1"/>
  <c r="AZ140" i="8" s="1"/>
  <c r="BC140" i="8" s="1"/>
  <c r="AU108" i="8"/>
  <c r="AV108" i="8" s="1"/>
  <c r="AZ108" i="8" s="1"/>
  <c r="BA108" i="8" s="1"/>
  <c r="BB108" i="8" s="1"/>
  <c r="AU131" i="8"/>
  <c r="AV131" i="8" s="1"/>
  <c r="AZ131" i="8" s="1"/>
  <c r="BC131" i="8" s="1"/>
  <c r="AU169" i="8"/>
  <c r="AV169" i="8" s="1"/>
  <c r="AZ169" i="8" s="1"/>
  <c r="BC169" i="8" s="1"/>
  <c r="AU157" i="8"/>
  <c r="AV157" i="8" s="1"/>
  <c r="AZ157" i="8" s="1"/>
  <c r="BA157" i="8" s="1"/>
  <c r="BB157" i="8" s="1"/>
  <c r="AU155" i="8"/>
  <c r="AV155" i="8" s="1"/>
  <c r="AZ155" i="8" s="1"/>
  <c r="BE155" i="8" s="1"/>
  <c r="AU123" i="8"/>
  <c r="AV123" i="8" s="1"/>
  <c r="AZ123" i="8" s="1"/>
  <c r="BA123" i="8" s="1"/>
  <c r="BB123" i="8" s="1"/>
  <c r="AU101" i="8"/>
  <c r="AV101" i="8" s="1"/>
  <c r="AZ101" i="8" s="1"/>
  <c r="BC101" i="8" s="1"/>
  <c r="AU165" i="8"/>
  <c r="AV165" i="8" s="1"/>
  <c r="AZ165" i="8" s="1"/>
  <c r="BC165" i="8" s="1"/>
  <c r="AU133" i="8"/>
  <c r="AV133" i="8" s="1"/>
  <c r="AZ133" i="8" s="1"/>
  <c r="BE133" i="8" s="1"/>
  <c r="AU80" i="8"/>
  <c r="AV80" i="8" s="1"/>
  <c r="AZ80" i="8" s="1"/>
  <c r="BA80" i="8" s="1"/>
  <c r="BB80" i="8" s="1"/>
  <c r="AU72" i="8"/>
  <c r="AV72" i="8" s="1"/>
  <c r="AZ72" i="8" s="1"/>
  <c r="BA72" i="8" s="1"/>
  <c r="BB72" i="8" s="1"/>
  <c r="AU97" i="8"/>
  <c r="AV97" i="8" s="1"/>
  <c r="AZ97" i="8" s="1"/>
  <c r="BC97" i="8" s="1"/>
  <c r="AU51" i="8"/>
  <c r="AV51" i="8" s="1"/>
  <c r="AZ51" i="8" s="1"/>
  <c r="BC51" i="8" s="1"/>
  <c r="AU149" i="8"/>
  <c r="AV149" i="8" s="1"/>
  <c r="AZ149" i="8" s="1"/>
  <c r="BC149" i="8" s="1"/>
  <c r="AU117" i="8"/>
  <c r="AV117" i="8" s="1"/>
  <c r="AZ117" i="8" s="1"/>
  <c r="BA117" i="8" s="1"/>
  <c r="BB117" i="8" s="1"/>
  <c r="AU122" i="8"/>
  <c r="AV122" i="8" s="1"/>
  <c r="AZ122" i="8" s="1"/>
  <c r="BA122" i="8" s="1"/>
  <c r="BB122" i="8" s="1"/>
  <c r="AU164" i="8"/>
  <c r="AV164" i="8" s="1"/>
  <c r="AZ164" i="8" s="1"/>
  <c r="BE164" i="8" s="1"/>
  <c r="AU68" i="8"/>
  <c r="AV68" i="8" s="1"/>
  <c r="AZ68" i="8" s="1"/>
  <c r="BE68" i="8" s="1"/>
  <c r="AU132" i="8"/>
  <c r="AV132" i="8" s="1"/>
  <c r="AZ132" i="8" s="1"/>
  <c r="BA132" i="8" s="1"/>
  <c r="BB132" i="8" s="1"/>
  <c r="AU125" i="8"/>
  <c r="AV125" i="8" s="1"/>
  <c r="AZ125" i="8" s="1"/>
  <c r="BC125" i="8" s="1"/>
  <c r="AU93" i="8"/>
  <c r="AV93" i="8" s="1"/>
  <c r="AZ93" i="8" s="1"/>
  <c r="BC93" i="8" s="1"/>
  <c r="AU111" i="8"/>
  <c r="AV111" i="8" s="1"/>
  <c r="AZ111" i="8" s="1"/>
  <c r="BC111" i="8" s="1"/>
  <c r="AU154" i="8"/>
  <c r="AV154" i="8" s="1"/>
  <c r="AZ154" i="8" s="1"/>
  <c r="BA154" i="8" s="1"/>
  <c r="BB154" i="8" s="1"/>
  <c r="AU147" i="8"/>
  <c r="AV147" i="8" s="1"/>
  <c r="AZ147" i="8" s="1"/>
  <c r="BC147" i="8" s="1"/>
  <c r="AU145" i="8"/>
  <c r="AV145" i="8" s="1"/>
  <c r="AZ145" i="8" s="1"/>
  <c r="BA145" i="8" s="1"/>
  <c r="BB145" i="8" s="1"/>
  <c r="AU113" i="8"/>
  <c r="AV113" i="8" s="1"/>
  <c r="AZ113" i="8" s="1"/>
  <c r="BE113" i="8" s="1"/>
  <c r="AU65" i="8"/>
  <c r="AV65" i="8" s="1"/>
  <c r="AZ65" i="8" s="1"/>
  <c r="BC65" i="8" s="1"/>
  <c r="AU59" i="8"/>
  <c r="AV59" i="8" s="1"/>
  <c r="AZ59" i="8" s="1"/>
  <c r="BA59" i="8" s="1"/>
  <c r="BB59" i="8" s="1"/>
  <c r="AU172" i="8"/>
  <c r="AV172" i="8" s="1"/>
  <c r="AZ172" i="8" s="1"/>
  <c r="BC172" i="8" s="1"/>
  <c r="AU160" i="8"/>
  <c r="AV160" i="8" s="1"/>
  <c r="AZ160" i="8" s="1"/>
  <c r="BC160" i="8" s="1"/>
  <c r="AU128" i="8"/>
  <c r="AV128" i="8" s="1"/>
  <c r="AZ128" i="8" s="1"/>
  <c r="BC128" i="8" s="1"/>
  <c r="AU90" i="8"/>
  <c r="AV90" i="8" s="1"/>
  <c r="AZ90" i="8" s="1"/>
  <c r="BC90" i="8" s="1"/>
  <c r="AU170" i="8"/>
  <c r="AV170" i="8" s="1"/>
  <c r="AZ170" i="8" s="1"/>
  <c r="BA170" i="8" s="1"/>
  <c r="BB170" i="8" s="1"/>
  <c r="AU138" i="8"/>
  <c r="AV138" i="8" s="1"/>
  <c r="AZ138" i="8" s="1"/>
  <c r="BA138" i="8" s="1"/>
  <c r="BB138" i="8" s="1"/>
  <c r="AU94" i="8"/>
  <c r="AV94" i="8" s="1"/>
  <c r="AZ94" i="8" s="1"/>
  <c r="BC94" i="8" s="1"/>
  <c r="AU175" i="8"/>
  <c r="AV175" i="8" s="1"/>
  <c r="AZ175" i="8" s="1"/>
  <c r="BC175" i="8" s="1"/>
  <c r="AU57" i="8"/>
  <c r="AV57" i="8" s="1"/>
  <c r="AZ57" i="8" s="1"/>
  <c r="BA57" i="8" s="1"/>
  <c r="BB57" i="8" s="1"/>
  <c r="AU76" i="8"/>
  <c r="AV76" i="8" s="1"/>
  <c r="AZ76" i="8" s="1"/>
  <c r="BA76" i="8" s="1"/>
  <c r="BB76" i="8" s="1"/>
  <c r="AU104" i="8"/>
  <c r="AV104" i="8" s="1"/>
  <c r="AZ104" i="8" s="1"/>
  <c r="BA104" i="8" s="1"/>
  <c r="BB104" i="8" s="1"/>
  <c r="AU75" i="8"/>
  <c r="AV75" i="8" s="1"/>
  <c r="AZ75" i="8" s="1"/>
  <c r="BC75" i="8" s="1"/>
  <c r="AU151" i="8"/>
  <c r="AV151" i="8" s="1"/>
  <c r="AZ151" i="8" s="1"/>
  <c r="BA151" i="8" s="1"/>
  <c r="BB151" i="8" s="1"/>
  <c r="AU148" i="8"/>
  <c r="AV148" i="8" s="1"/>
  <c r="AZ148" i="8" s="1"/>
  <c r="BE148" i="8" s="1"/>
  <c r="AU114" i="8"/>
  <c r="AV114" i="8" s="1"/>
  <c r="AZ114" i="8" s="1"/>
  <c r="BC114" i="8" s="1"/>
  <c r="AU86" i="8"/>
  <c r="AV86" i="8" s="1"/>
  <c r="AZ86" i="8" s="1"/>
  <c r="BC86" i="8" s="1"/>
  <c r="AU77" i="8"/>
  <c r="AV77" i="8" s="1"/>
  <c r="AZ77" i="8" s="1"/>
  <c r="BE77" i="8" s="1"/>
  <c r="AU70" i="8"/>
  <c r="AV70" i="8" s="1"/>
  <c r="AZ70" i="8" s="1"/>
  <c r="BC70" i="8" s="1"/>
  <c r="AU153" i="8"/>
  <c r="AV153" i="8" s="1"/>
  <c r="AZ153" i="8" s="1"/>
  <c r="BC153" i="8" s="1"/>
  <c r="AU166" i="8"/>
  <c r="AV166" i="8" s="1"/>
  <c r="AZ166" i="8" s="1"/>
  <c r="BE166" i="8" s="1"/>
  <c r="AU158" i="8"/>
  <c r="AV158" i="8" s="1"/>
  <c r="AZ158" i="8" s="1"/>
  <c r="BA158" i="8" s="1"/>
  <c r="BB158" i="8" s="1"/>
  <c r="AU119" i="8"/>
  <c r="AV119" i="8" s="1"/>
  <c r="AZ119" i="8" s="1"/>
  <c r="BA119" i="8" s="1"/>
  <c r="BB119" i="8" s="1"/>
  <c r="AU115" i="8"/>
  <c r="AV115" i="8" s="1"/>
  <c r="AZ115" i="8" s="1"/>
  <c r="BE115" i="8" s="1"/>
  <c r="AU107" i="8"/>
  <c r="AV107" i="8" s="1"/>
  <c r="AZ107" i="8" s="1"/>
  <c r="BA107" i="8" s="1"/>
  <c r="BB107" i="8" s="1"/>
  <c r="AU66" i="8"/>
  <c r="AV66" i="8" s="1"/>
  <c r="AZ66" i="8" s="1"/>
  <c r="BA66" i="8" s="1"/>
  <c r="BB66" i="8" s="1"/>
  <c r="AU134" i="8"/>
  <c r="AV134" i="8" s="1"/>
  <c r="AZ134" i="8" s="1"/>
  <c r="BA134" i="8" s="1"/>
  <c r="BB134" i="8" s="1"/>
  <c r="AU120" i="8"/>
  <c r="AV120" i="8" s="1"/>
  <c r="AZ120" i="8" s="1"/>
  <c r="BE120" i="8" s="1"/>
  <c r="AU60" i="8"/>
  <c r="AV60" i="8" s="1"/>
  <c r="AZ60" i="8" s="1"/>
  <c r="BC60" i="8" s="1"/>
  <c r="AU112" i="8"/>
  <c r="AV112" i="8" s="1"/>
  <c r="AZ112" i="8" s="1"/>
  <c r="BA112" i="8" s="1"/>
  <c r="BB112" i="8" s="1"/>
  <c r="AU156" i="8"/>
  <c r="AV156" i="8" s="1"/>
  <c r="AZ156" i="8" s="1"/>
  <c r="BA156" i="8" s="1"/>
  <c r="BB156" i="8" s="1"/>
  <c r="AU168" i="8"/>
  <c r="AV168" i="8" s="1"/>
  <c r="AZ168" i="8" s="1"/>
  <c r="BC168" i="8" s="1"/>
  <c r="AU163" i="8"/>
  <c r="AV163" i="8" s="1"/>
  <c r="AZ163" i="8" s="1"/>
  <c r="BC163" i="8" s="1"/>
  <c r="AU64" i="8"/>
  <c r="AV64" i="8" s="1"/>
  <c r="AZ64" i="8" s="1"/>
  <c r="BE64" i="8" s="1"/>
  <c r="AU130" i="8"/>
  <c r="AV130" i="8" s="1"/>
  <c r="AZ130" i="8" s="1"/>
  <c r="BA130" i="8" s="1"/>
  <c r="BB130" i="8" s="1"/>
  <c r="AU116" i="8"/>
  <c r="AV116" i="8" s="1"/>
  <c r="AZ116" i="8" s="1"/>
  <c r="BC116" i="8" s="1"/>
  <c r="AU87" i="8"/>
  <c r="AV87" i="8" s="1"/>
  <c r="AZ87" i="8" s="1"/>
  <c r="BA87" i="8" s="1"/>
  <c r="BB87" i="8" s="1"/>
  <c r="AU161" i="8"/>
  <c r="AV161" i="8" s="1"/>
  <c r="AZ161" i="8" s="1"/>
  <c r="BA161" i="8" s="1"/>
  <c r="BB161" i="8" s="1"/>
  <c r="AU103" i="8"/>
  <c r="AV103" i="8" s="1"/>
  <c r="AZ103" i="8" s="1"/>
  <c r="BC103" i="8" s="1"/>
  <c r="AU73" i="8"/>
  <c r="AV73" i="8" s="1"/>
  <c r="AZ73" i="8" s="1"/>
  <c r="BA73" i="8" s="1"/>
  <c r="BB73" i="8" s="1"/>
  <c r="AU173" i="8"/>
  <c r="AV173" i="8" s="1"/>
  <c r="AZ173" i="8" s="1"/>
  <c r="BE173" i="8" s="1"/>
  <c r="AU174" i="8"/>
  <c r="AV174" i="8" s="1"/>
  <c r="AZ174" i="8" s="1"/>
  <c r="BC174" i="8" s="1"/>
  <c r="AU105" i="8"/>
  <c r="AV105" i="8" s="1"/>
  <c r="AZ105" i="8" s="1"/>
  <c r="BA105" i="8" s="1"/>
  <c r="BB105" i="8" s="1"/>
  <c r="AU95" i="8"/>
  <c r="AV95" i="8" s="1"/>
  <c r="AZ95" i="8" s="1"/>
  <c r="BA95" i="8" s="1"/>
  <c r="BB95" i="8" s="1"/>
  <c r="AU62" i="8"/>
  <c r="AV62" i="8" s="1"/>
  <c r="AZ62" i="8" s="1"/>
  <c r="BA62" i="8" s="1"/>
  <c r="BB62" i="8" s="1"/>
  <c r="AU162" i="8"/>
  <c r="AV162" i="8" s="1"/>
  <c r="AZ162" i="8" s="1"/>
  <c r="BA162" i="8" s="1"/>
  <c r="BB162" i="8" s="1"/>
  <c r="AU78" i="8"/>
  <c r="AV78" i="8" s="1"/>
  <c r="AZ78" i="8" s="1"/>
  <c r="BE78" i="8" s="1"/>
  <c r="AU100" i="8"/>
  <c r="AV100" i="8" s="1"/>
  <c r="AZ100" i="8" s="1"/>
  <c r="BE100" i="8" s="1"/>
  <c r="AU69" i="8"/>
  <c r="AV69" i="8" s="1"/>
  <c r="AZ69" i="8" s="1"/>
  <c r="BC69" i="8" s="1"/>
  <c r="AU110" i="8"/>
  <c r="AV110" i="8" s="1"/>
  <c r="AZ110" i="8" s="1"/>
  <c r="BA110" i="8" s="1"/>
  <c r="BB110" i="8" s="1"/>
  <c r="AU55" i="8"/>
  <c r="AV55" i="8" s="1"/>
  <c r="AZ55" i="8" s="1"/>
  <c r="BC55" i="8" s="1"/>
  <c r="AU67" i="8"/>
  <c r="AV67" i="8" s="1"/>
  <c r="AZ67" i="8" s="1"/>
  <c r="BE67" i="8" s="1"/>
  <c r="AU167" i="8"/>
  <c r="AV167" i="8" s="1"/>
  <c r="AZ167" i="8" s="1"/>
  <c r="BC167" i="8" s="1"/>
  <c r="AU83" i="8"/>
  <c r="AV83" i="8" s="1"/>
  <c r="AZ83" i="8" s="1"/>
  <c r="BA83" i="8" s="1"/>
  <c r="BB83" i="8" s="1"/>
  <c r="U26" i="8"/>
  <c r="G117" i="1" s="1"/>
  <c r="BA171" i="8"/>
  <c r="BB171" i="8" s="1"/>
  <c r="BC171" i="8"/>
  <c r="BE171" i="8"/>
  <c r="G105" i="1" l="1"/>
  <c r="BE141" i="8"/>
  <c r="BF141" i="8" s="1"/>
  <c r="BG141" i="8" s="1"/>
  <c r="BE178" i="8"/>
  <c r="BF178" i="8" s="1"/>
  <c r="BG178" i="8" s="1"/>
  <c r="BC178" i="8"/>
  <c r="BE92" i="8"/>
  <c r="BH92" i="8" s="1"/>
  <c r="BI92" i="8" s="1"/>
  <c r="BE139" i="8"/>
  <c r="BF139" i="8" s="1"/>
  <c r="BG139" i="8" s="1"/>
  <c r="BA139" i="8"/>
  <c r="BB139" i="8" s="1"/>
  <c r="BC92" i="8"/>
  <c r="BC155" i="8"/>
  <c r="BA155" i="8"/>
  <c r="BB155" i="8" s="1"/>
  <c r="BA70" i="8"/>
  <c r="BB70" i="8" s="1"/>
  <c r="BE82" i="8"/>
  <c r="BH82" i="8" s="1"/>
  <c r="BI82" i="8" s="1"/>
  <c r="BC82" i="8"/>
  <c r="BE121" i="8"/>
  <c r="BF121" i="8" s="1"/>
  <c r="BG121" i="8" s="1"/>
  <c r="BA61" i="8"/>
  <c r="BB61" i="8" s="1"/>
  <c r="BC141" i="8"/>
  <c r="BA121" i="8"/>
  <c r="BB121" i="8" s="1"/>
  <c r="BC61" i="8"/>
  <c r="BE101" i="8"/>
  <c r="BH101" i="8" s="1"/>
  <c r="BI101" i="8" s="1"/>
  <c r="BA101" i="8"/>
  <c r="BB101" i="8" s="1"/>
  <c r="BE86" i="8"/>
  <c r="BH86" i="8" s="1"/>
  <c r="BI86" i="8" s="1"/>
  <c r="BC145" i="8"/>
  <c r="BE145" i="8"/>
  <c r="BH145" i="8" s="1"/>
  <c r="BI145" i="8" s="1"/>
  <c r="BA86" i="8"/>
  <c r="BB86" i="8" s="1"/>
  <c r="BE157" i="8"/>
  <c r="BF157" i="8" s="1"/>
  <c r="BG157" i="8" s="1"/>
  <c r="BC157" i="8"/>
  <c r="BE54" i="8"/>
  <c r="BH54" i="8" s="1"/>
  <c r="BI54" i="8" s="1"/>
  <c r="BC52" i="8"/>
  <c r="BA54" i="8"/>
  <c r="BB54" i="8" s="1"/>
  <c r="BE153" i="8"/>
  <c r="BH153" i="8" s="1"/>
  <c r="BI153" i="8" s="1"/>
  <c r="BE143" i="8"/>
  <c r="BH143" i="8" s="1"/>
  <c r="BI143" i="8" s="1"/>
  <c r="BA143" i="8"/>
  <c r="BB143" i="8" s="1"/>
  <c r="BE53" i="8"/>
  <c r="BH53" i="8" s="1"/>
  <c r="BI53" i="8" s="1"/>
  <c r="BC81" i="8"/>
  <c r="BE176" i="8"/>
  <c r="BH176" i="8" s="1"/>
  <c r="BI176" i="8" s="1"/>
  <c r="BC176" i="8"/>
  <c r="BE63" i="8"/>
  <c r="BH63" i="8" s="1"/>
  <c r="BI63" i="8" s="1"/>
  <c r="BA129" i="8"/>
  <c r="BB129" i="8" s="1"/>
  <c r="BC63" i="8"/>
  <c r="BE124" i="8"/>
  <c r="BF124" i="8" s="1"/>
  <c r="BG124" i="8" s="1"/>
  <c r="BC124" i="8"/>
  <c r="BE147" i="8"/>
  <c r="BH147" i="8" s="1"/>
  <c r="BI147" i="8" s="1"/>
  <c r="BA53" i="8"/>
  <c r="BB53" i="8" s="1"/>
  <c r="BA120" i="8"/>
  <c r="BB120" i="8" s="1"/>
  <c r="BE172" i="8"/>
  <c r="BH172" i="8" s="1"/>
  <c r="BI172" i="8" s="1"/>
  <c r="BA147" i="8"/>
  <c r="BB147" i="8" s="1"/>
  <c r="BE146" i="8"/>
  <c r="BF146" i="8" s="1"/>
  <c r="BG146" i="8" s="1"/>
  <c r="BE136" i="8"/>
  <c r="BH136" i="8" s="1"/>
  <c r="BI136" i="8" s="1"/>
  <c r="BC50" i="8"/>
  <c r="BC146" i="8"/>
  <c r="BC89" i="8"/>
  <c r="BC136" i="8"/>
  <c r="BA65" i="8"/>
  <c r="BB65" i="8" s="1"/>
  <c r="BE81" i="8"/>
  <c r="BF81" i="8" s="1"/>
  <c r="BG81" i="8" s="1"/>
  <c r="BE129" i="8"/>
  <c r="BF129" i="8" s="1"/>
  <c r="BG129" i="8" s="1"/>
  <c r="BA153" i="8"/>
  <c r="BB153" i="8" s="1"/>
  <c r="BC144" i="8"/>
  <c r="BE65" i="8"/>
  <c r="BF65" i="8" s="1"/>
  <c r="BG65" i="8" s="1"/>
  <c r="BE160" i="8"/>
  <c r="BH160" i="8" s="1"/>
  <c r="BI160" i="8" s="1"/>
  <c r="BA89" i="8"/>
  <c r="BB89" i="8" s="1"/>
  <c r="BE70" i="8"/>
  <c r="BH70" i="8" s="1"/>
  <c r="BI70" i="8" s="1"/>
  <c r="BA172" i="8"/>
  <c r="BB172" i="8" s="1"/>
  <c r="BA115" i="8"/>
  <c r="BB115" i="8" s="1"/>
  <c r="BC166" i="8"/>
  <c r="BC115" i="8"/>
  <c r="BE144" i="8"/>
  <c r="BH144" i="8" s="1"/>
  <c r="BI144" i="8" s="1"/>
  <c r="BE91" i="8"/>
  <c r="BH91" i="8" s="1"/>
  <c r="BI91" i="8" s="1"/>
  <c r="BC173" i="8"/>
  <c r="BA133" i="8"/>
  <c r="BB133" i="8" s="1"/>
  <c r="BA166" i="8"/>
  <c r="BB166" i="8" s="1"/>
  <c r="BC133" i="8"/>
  <c r="BC158" i="8"/>
  <c r="BA173" i="8"/>
  <c r="BB173" i="8" s="1"/>
  <c r="BA135" i="8"/>
  <c r="BB135" i="8" s="1"/>
  <c r="BC135" i="8"/>
  <c r="BE98" i="8"/>
  <c r="BH98" i="8" s="1"/>
  <c r="BI98" i="8" s="1"/>
  <c r="BE128" i="8"/>
  <c r="BF128" i="8" s="1"/>
  <c r="BG128" i="8" s="1"/>
  <c r="BC98" i="8"/>
  <c r="BC170" i="8"/>
  <c r="BE90" i="8"/>
  <c r="BH90" i="8" s="1"/>
  <c r="BI90" i="8" s="1"/>
  <c r="BA58" i="8"/>
  <c r="BB58" i="8" s="1"/>
  <c r="BA79" i="8"/>
  <c r="BB79" i="8" s="1"/>
  <c r="BE165" i="8"/>
  <c r="BF165" i="8" s="1"/>
  <c r="BG165" i="8" s="1"/>
  <c r="BC79" i="8"/>
  <c r="BE59" i="8"/>
  <c r="BF59" i="8" s="1"/>
  <c r="BG59" i="8" s="1"/>
  <c r="BE58" i="8"/>
  <c r="BF58" i="8" s="1"/>
  <c r="BG58" i="8" s="1"/>
  <c r="BA165" i="8"/>
  <c r="BB165" i="8" s="1"/>
  <c r="BE142" i="8"/>
  <c r="BH142" i="8" s="1"/>
  <c r="BI142" i="8" s="1"/>
  <c r="BE50" i="8"/>
  <c r="BH50" i="8" s="1"/>
  <c r="BI50" i="8" s="1"/>
  <c r="BC59" i="8"/>
  <c r="BA90" i="8"/>
  <c r="BB90" i="8" s="1"/>
  <c r="BC107" i="8"/>
  <c r="BE107" i="8"/>
  <c r="BF107" i="8" s="1"/>
  <c r="BG107" i="8" s="1"/>
  <c r="BA91" i="8"/>
  <c r="BB91" i="8" s="1"/>
  <c r="BE80" i="8"/>
  <c r="BH80" i="8" s="1"/>
  <c r="BI80" i="8" s="1"/>
  <c r="BC80" i="8"/>
  <c r="BC137" i="8"/>
  <c r="BE74" i="8"/>
  <c r="BH74" i="8" s="1"/>
  <c r="BI74" i="8" s="1"/>
  <c r="BA137" i="8"/>
  <c r="BB137" i="8" s="1"/>
  <c r="BE102" i="8"/>
  <c r="BH102" i="8" s="1"/>
  <c r="BI102" i="8" s="1"/>
  <c r="BC119" i="8"/>
  <c r="BE127" i="8"/>
  <c r="BH127" i="8" s="1"/>
  <c r="BI127" i="8" s="1"/>
  <c r="BC102" i="8"/>
  <c r="BA74" i="8"/>
  <c r="BB74" i="8" s="1"/>
  <c r="BA88" i="8"/>
  <c r="BB88" i="8" s="1"/>
  <c r="BE159" i="8"/>
  <c r="BF159" i="8" s="1"/>
  <c r="BG159" i="8" s="1"/>
  <c r="BC159" i="8"/>
  <c r="BE175" i="8"/>
  <c r="BH175" i="8" s="1"/>
  <c r="BI175" i="8" s="1"/>
  <c r="BA160" i="8"/>
  <c r="BB160" i="8" s="1"/>
  <c r="BC72" i="8"/>
  <c r="BE138" i="8"/>
  <c r="BF138" i="8" s="1"/>
  <c r="BG138" i="8" s="1"/>
  <c r="BC138" i="8"/>
  <c r="BE72" i="8"/>
  <c r="BH72" i="8" s="1"/>
  <c r="BI72" i="8" s="1"/>
  <c r="BE66" i="8"/>
  <c r="BF66" i="8" s="1"/>
  <c r="BG66" i="8" s="1"/>
  <c r="BE52" i="8"/>
  <c r="BF52" i="8" s="1"/>
  <c r="BG52" i="8" s="1"/>
  <c r="BE119" i="8"/>
  <c r="BF119" i="8" s="1"/>
  <c r="BG119" i="8" s="1"/>
  <c r="BC66" i="8"/>
  <c r="BE114" i="8"/>
  <c r="BH114" i="8" s="1"/>
  <c r="BI114" i="8" s="1"/>
  <c r="BC142" i="8"/>
  <c r="BC84" i="8"/>
  <c r="BE51" i="8"/>
  <c r="BF51" i="8" s="1"/>
  <c r="BG51" i="8" s="1"/>
  <c r="BA51" i="8"/>
  <c r="BB51" i="8" s="1"/>
  <c r="BA118" i="8"/>
  <c r="BB118" i="8" s="1"/>
  <c r="BE158" i="8"/>
  <c r="BF158" i="8" s="1"/>
  <c r="BG158" i="8" s="1"/>
  <c r="BE104" i="8"/>
  <c r="BF104" i="8" s="1"/>
  <c r="BG104" i="8" s="1"/>
  <c r="BC104" i="8"/>
  <c r="BC106" i="8"/>
  <c r="BE150" i="8"/>
  <c r="BF150" i="8" s="1"/>
  <c r="BG150" i="8" s="1"/>
  <c r="BA150" i="8"/>
  <c r="BB150" i="8" s="1"/>
  <c r="BC99" i="8"/>
  <c r="BA68" i="8"/>
  <c r="BB68" i="8" s="1"/>
  <c r="BC68" i="8"/>
  <c r="BA152" i="8"/>
  <c r="BB152" i="8" s="1"/>
  <c r="BC152" i="8"/>
  <c r="BA169" i="8"/>
  <c r="BB169" i="8" s="1"/>
  <c r="BA114" i="8"/>
  <c r="BB114" i="8" s="1"/>
  <c r="BE93" i="8"/>
  <c r="BH93" i="8" s="1"/>
  <c r="BI93" i="8" s="1"/>
  <c r="BC123" i="8"/>
  <c r="BC113" i="8"/>
  <c r="BC57" i="8"/>
  <c r="BE94" i="8"/>
  <c r="BH94" i="8" s="1"/>
  <c r="BI94" i="8" s="1"/>
  <c r="BA113" i="8"/>
  <c r="BB113" i="8" s="1"/>
  <c r="BA177" i="8"/>
  <c r="BB177" i="8" s="1"/>
  <c r="BA56" i="8"/>
  <c r="BB56" i="8" s="1"/>
  <c r="BA127" i="8"/>
  <c r="BB127" i="8" s="1"/>
  <c r="BC122" i="8"/>
  <c r="BA94" i="8"/>
  <c r="BB94" i="8" s="1"/>
  <c r="BC76" i="8"/>
  <c r="BC77" i="8"/>
  <c r="BC109" i="8"/>
  <c r="BE85" i="8"/>
  <c r="BH85" i="8" s="1"/>
  <c r="BI85" i="8" s="1"/>
  <c r="BA149" i="8"/>
  <c r="BB149" i="8" s="1"/>
  <c r="BC132" i="8"/>
  <c r="BC117" i="8"/>
  <c r="BC96" i="8"/>
  <c r="BE71" i="8"/>
  <c r="BH71" i="8" s="1"/>
  <c r="BI71" i="8" s="1"/>
  <c r="BA75" i="8"/>
  <c r="BB75" i="8" s="1"/>
  <c r="BA128" i="8"/>
  <c r="BB128" i="8" s="1"/>
  <c r="BA84" i="8"/>
  <c r="BB84" i="8" s="1"/>
  <c r="BE108" i="8"/>
  <c r="BH108" i="8" s="1"/>
  <c r="BI108" i="8" s="1"/>
  <c r="BC148" i="8"/>
  <c r="BE123" i="8"/>
  <c r="BH123" i="8" s="1"/>
  <c r="BI123" i="8" s="1"/>
  <c r="BC108" i="8"/>
  <c r="BE57" i="8"/>
  <c r="BH57" i="8" s="1"/>
  <c r="BI57" i="8" s="1"/>
  <c r="BA148" i="8"/>
  <c r="BB148" i="8" s="1"/>
  <c r="BE109" i="8"/>
  <c r="BH109" i="8" s="1"/>
  <c r="BI109" i="8" s="1"/>
  <c r="BE56" i="8"/>
  <c r="BF56" i="8" s="1"/>
  <c r="BG56" i="8" s="1"/>
  <c r="BE117" i="8"/>
  <c r="BF117" i="8" s="1"/>
  <c r="BG117" i="8" s="1"/>
  <c r="BC164" i="8"/>
  <c r="BE149" i="8"/>
  <c r="BF149" i="8" s="1"/>
  <c r="BG149" i="8" s="1"/>
  <c r="BE131" i="8"/>
  <c r="BF131" i="8" s="1"/>
  <c r="BG131" i="8" s="1"/>
  <c r="BA77" i="8"/>
  <c r="BB77" i="8" s="1"/>
  <c r="BE151" i="8"/>
  <c r="BH151" i="8" s="1"/>
  <c r="BI151" i="8" s="1"/>
  <c r="BA164" i="8"/>
  <c r="BB164" i="8" s="1"/>
  <c r="BE75" i="8"/>
  <c r="BH75" i="8" s="1"/>
  <c r="BI75" i="8" s="1"/>
  <c r="BA131" i="8"/>
  <c r="BB131" i="8" s="1"/>
  <c r="BE126" i="8"/>
  <c r="BF126" i="8" s="1"/>
  <c r="BG126" i="8" s="1"/>
  <c r="BE97" i="8"/>
  <c r="BH97" i="8" s="1"/>
  <c r="BI97" i="8" s="1"/>
  <c r="BA96" i="8"/>
  <c r="BB96" i="8" s="1"/>
  <c r="BC71" i="8"/>
  <c r="BE88" i="8"/>
  <c r="BH88" i="8" s="1"/>
  <c r="BI88" i="8" s="1"/>
  <c r="BC151" i="8"/>
  <c r="BC85" i="8"/>
  <c r="BC134" i="8"/>
  <c r="BE118" i="8"/>
  <c r="BF118" i="8" s="1"/>
  <c r="BG118" i="8" s="1"/>
  <c r="BE99" i="8"/>
  <c r="BH99" i="8" s="1"/>
  <c r="BI99" i="8" s="1"/>
  <c r="BE170" i="8"/>
  <c r="BF170" i="8" s="1"/>
  <c r="BG170" i="8" s="1"/>
  <c r="BA126" i="8"/>
  <c r="BB126" i="8" s="1"/>
  <c r="BA111" i="8"/>
  <c r="BB111" i="8" s="1"/>
  <c r="BA97" i="8"/>
  <c r="BB97" i="8" s="1"/>
  <c r="BE125" i="8"/>
  <c r="BF125" i="8" s="1"/>
  <c r="BG125" i="8" s="1"/>
  <c r="BA93" i="8"/>
  <c r="BB93" i="8" s="1"/>
  <c r="BE177" i="8"/>
  <c r="BF177" i="8" s="1"/>
  <c r="BG177" i="8" s="1"/>
  <c r="BE122" i="8"/>
  <c r="BH122" i="8" s="1"/>
  <c r="BI122" i="8" s="1"/>
  <c r="BE76" i="8"/>
  <c r="BH76" i="8" s="1"/>
  <c r="BI76" i="8" s="1"/>
  <c r="BE132" i="8"/>
  <c r="BH132" i="8" s="1"/>
  <c r="BI132" i="8" s="1"/>
  <c r="BE134" i="8"/>
  <c r="BF134" i="8" s="1"/>
  <c r="BG134" i="8" s="1"/>
  <c r="BE111" i="8"/>
  <c r="BH111" i="8" s="1"/>
  <c r="BI111" i="8" s="1"/>
  <c r="BE154" i="8"/>
  <c r="BF154" i="8" s="1"/>
  <c r="BG154" i="8" s="1"/>
  <c r="BE140" i="8"/>
  <c r="BH140" i="8" s="1"/>
  <c r="BI140" i="8" s="1"/>
  <c r="BA125" i="8"/>
  <c r="BB125" i="8" s="1"/>
  <c r="BC120" i="8"/>
  <c r="BC154" i="8"/>
  <c r="BA140" i="8"/>
  <c r="BB140" i="8" s="1"/>
  <c r="BA175" i="8"/>
  <c r="BB175" i="8" s="1"/>
  <c r="BE106" i="8"/>
  <c r="BH106" i="8" s="1"/>
  <c r="BI106" i="8" s="1"/>
  <c r="BE169" i="8"/>
  <c r="BH169" i="8" s="1"/>
  <c r="BI169" i="8" s="1"/>
  <c r="BC156" i="8"/>
  <c r="BE156" i="8"/>
  <c r="BH156" i="8" s="1"/>
  <c r="BI156" i="8" s="1"/>
  <c r="BE168" i="8"/>
  <c r="BH168" i="8" s="1"/>
  <c r="BI168" i="8" s="1"/>
  <c r="BC64" i="8"/>
  <c r="BA64" i="8"/>
  <c r="BB64" i="8" s="1"/>
  <c r="BA60" i="8"/>
  <c r="BB60" i="8" s="1"/>
  <c r="BE130" i="8"/>
  <c r="BH130" i="8" s="1"/>
  <c r="BI130" i="8" s="1"/>
  <c r="BC130" i="8"/>
  <c r="BE83" i="8"/>
  <c r="BF83" i="8" s="1"/>
  <c r="BG83" i="8" s="1"/>
  <c r="BC83" i="8"/>
  <c r="BE103" i="8"/>
  <c r="BH103" i="8" s="1"/>
  <c r="BI103" i="8" s="1"/>
  <c r="BA103" i="8"/>
  <c r="BB103" i="8" s="1"/>
  <c r="BA168" i="8"/>
  <c r="BB168" i="8" s="1"/>
  <c r="BE161" i="8"/>
  <c r="BF161" i="8" s="1"/>
  <c r="BG161" i="8" s="1"/>
  <c r="BE87" i="8"/>
  <c r="BH87" i="8" s="1"/>
  <c r="BI87" i="8" s="1"/>
  <c r="BC87" i="8"/>
  <c r="BE163" i="8"/>
  <c r="BH163" i="8" s="1"/>
  <c r="BI163" i="8" s="1"/>
  <c r="BC161" i="8"/>
  <c r="BE73" i="8"/>
  <c r="BH73" i="8" s="1"/>
  <c r="BI73" i="8" s="1"/>
  <c r="BA163" i="8"/>
  <c r="BB163" i="8" s="1"/>
  <c r="BC73" i="8"/>
  <c r="BE112" i="8"/>
  <c r="BH112" i="8" s="1"/>
  <c r="BI112" i="8" s="1"/>
  <c r="BE116" i="8"/>
  <c r="BF116" i="8" s="1"/>
  <c r="BG116" i="8" s="1"/>
  <c r="BC112" i="8"/>
  <c r="BE60" i="8"/>
  <c r="BH60" i="8" s="1"/>
  <c r="BI60" i="8" s="1"/>
  <c r="BA116" i="8"/>
  <c r="BB116" i="8" s="1"/>
  <c r="BC100" i="8"/>
  <c r="BA100" i="8"/>
  <c r="BB100" i="8" s="1"/>
  <c r="BA78" i="8"/>
  <c r="BB78" i="8" s="1"/>
  <c r="BE162" i="8"/>
  <c r="BH162" i="8" s="1"/>
  <c r="BI162" i="8" s="1"/>
  <c r="BC78" i="8"/>
  <c r="BC162" i="8"/>
  <c r="BE62" i="8"/>
  <c r="BF62" i="8" s="1"/>
  <c r="BG62" i="8" s="1"/>
  <c r="BE167" i="8"/>
  <c r="BH167" i="8" s="1"/>
  <c r="BI167" i="8" s="1"/>
  <c r="BA167" i="8"/>
  <c r="BB167" i="8" s="1"/>
  <c r="BC67" i="8"/>
  <c r="BA55" i="8"/>
  <c r="BB55" i="8" s="1"/>
  <c r="BC62" i="8"/>
  <c r="BE95" i="8"/>
  <c r="BH95" i="8" s="1"/>
  <c r="BI95" i="8" s="1"/>
  <c r="BE69" i="8"/>
  <c r="BF69" i="8" s="1"/>
  <c r="BG69" i="8" s="1"/>
  <c r="BC95" i="8"/>
  <c r="BC105" i="8"/>
  <c r="BE174" i="8"/>
  <c r="BH174" i="8" s="1"/>
  <c r="BI174" i="8" s="1"/>
  <c r="BA67" i="8"/>
  <c r="BB67" i="8" s="1"/>
  <c r="BE110" i="8"/>
  <c r="BF110" i="8" s="1"/>
  <c r="BG110" i="8" s="1"/>
  <c r="BA69" i="8"/>
  <c r="BB69" i="8" s="1"/>
  <c r="BA174" i="8"/>
  <c r="BB174" i="8" s="1"/>
  <c r="BE55" i="8"/>
  <c r="BH55" i="8" s="1"/>
  <c r="BI55" i="8" s="1"/>
  <c r="BC110" i="8"/>
  <c r="BE105" i="8"/>
  <c r="BH105" i="8" s="1"/>
  <c r="BI105" i="8" s="1"/>
  <c r="BH68" i="8"/>
  <c r="BI68" i="8" s="1"/>
  <c r="BF68" i="8"/>
  <c r="BG68" i="8" s="1"/>
  <c r="BH100" i="8"/>
  <c r="BI100" i="8" s="1"/>
  <c r="BF100" i="8"/>
  <c r="BG100" i="8" s="1"/>
  <c r="BH173" i="8"/>
  <c r="BI173" i="8" s="1"/>
  <c r="BF173" i="8"/>
  <c r="BG173" i="8" s="1"/>
  <c r="BH61" i="8"/>
  <c r="BI61" i="8" s="1"/>
  <c r="BF61" i="8"/>
  <c r="BG61" i="8" s="1"/>
  <c r="BH78" i="8"/>
  <c r="BI78" i="8" s="1"/>
  <c r="BF78" i="8"/>
  <c r="BG78" i="8" s="1"/>
  <c r="BH113" i="8"/>
  <c r="BI113" i="8" s="1"/>
  <c r="BF113" i="8"/>
  <c r="BG113" i="8" s="1"/>
  <c r="BH115" i="8"/>
  <c r="BI115" i="8" s="1"/>
  <c r="BF115" i="8"/>
  <c r="BG115" i="8" s="1"/>
  <c r="BH152" i="8"/>
  <c r="BI152" i="8" s="1"/>
  <c r="BF152" i="8"/>
  <c r="BG152" i="8" s="1"/>
  <c r="BH77" i="8"/>
  <c r="BI77" i="8" s="1"/>
  <c r="BF77" i="8"/>
  <c r="BG77" i="8" s="1"/>
  <c r="BH79" i="8"/>
  <c r="BI79" i="8" s="1"/>
  <c r="BF79" i="8"/>
  <c r="BG79" i="8" s="1"/>
  <c r="BH96" i="8"/>
  <c r="BI96" i="8" s="1"/>
  <c r="BF96" i="8"/>
  <c r="BG96" i="8" s="1"/>
  <c r="BH166" i="8"/>
  <c r="BI166" i="8" s="1"/>
  <c r="BF166" i="8"/>
  <c r="BG166" i="8" s="1"/>
  <c r="BH141" i="8"/>
  <c r="BI141" i="8" s="1"/>
  <c r="BH120" i="8"/>
  <c r="BI120" i="8" s="1"/>
  <c r="BF120" i="8"/>
  <c r="BG120" i="8" s="1"/>
  <c r="BH148" i="8"/>
  <c r="BI148" i="8" s="1"/>
  <c r="BF148" i="8"/>
  <c r="BG148" i="8" s="1"/>
  <c r="BH67" i="8"/>
  <c r="BI67" i="8" s="1"/>
  <c r="BF67" i="8"/>
  <c r="BG67" i="8" s="1"/>
  <c r="BH171" i="8"/>
  <c r="BI171" i="8" s="1"/>
  <c r="BF171" i="8"/>
  <c r="BG171" i="8" s="1"/>
  <c r="BH135" i="8"/>
  <c r="BI135" i="8" s="1"/>
  <c r="BF135" i="8"/>
  <c r="BG135" i="8" s="1"/>
  <c r="BH89" i="8"/>
  <c r="BI89" i="8" s="1"/>
  <c r="BF89" i="8"/>
  <c r="BG89" i="8" s="1"/>
  <c r="BH164" i="8"/>
  <c r="BI164" i="8" s="1"/>
  <c r="BF164" i="8"/>
  <c r="BG164" i="8" s="1"/>
  <c r="BH137" i="8"/>
  <c r="BI137" i="8" s="1"/>
  <c r="BF137" i="8"/>
  <c r="BG137" i="8" s="1"/>
  <c r="BH155" i="8"/>
  <c r="BI155" i="8" s="1"/>
  <c r="BF155" i="8"/>
  <c r="BG155" i="8" s="1"/>
  <c r="BH64" i="8"/>
  <c r="BI64" i="8" s="1"/>
  <c r="BF64" i="8"/>
  <c r="BG64" i="8" s="1"/>
  <c r="BH133" i="8"/>
  <c r="BI133" i="8" s="1"/>
  <c r="BF133" i="8"/>
  <c r="BG133" i="8" s="1"/>
  <c r="BH84" i="8"/>
  <c r="BI84" i="8" s="1"/>
  <c r="BF84" i="8"/>
  <c r="BG84" i="8" s="1"/>
  <c r="F112" i="1"/>
  <c r="BF82" i="8" l="1"/>
  <c r="BG82" i="8" s="1"/>
  <c r="BH178" i="8"/>
  <c r="BI178" i="8" s="1"/>
  <c r="BH139" i="8"/>
  <c r="BI139" i="8" s="1"/>
  <c r="BF92" i="8"/>
  <c r="BG92" i="8" s="1"/>
  <c r="BH121" i="8"/>
  <c r="BI121" i="8" s="1"/>
  <c r="BF160" i="8"/>
  <c r="BG160" i="8" s="1"/>
  <c r="BF101" i="8"/>
  <c r="BG101" i="8" s="1"/>
  <c r="BF86" i="8"/>
  <c r="BG86" i="8" s="1"/>
  <c r="BH146" i="8"/>
  <c r="BI146" i="8" s="1"/>
  <c r="BF153" i="8"/>
  <c r="BG153" i="8" s="1"/>
  <c r="BH157" i="8"/>
  <c r="BI157" i="8" s="1"/>
  <c r="BH129" i="8"/>
  <c r="BI129" i="8" s="1"/>
  <c r="BF144" i="8"/>
  <c r="BG144" i="8" s="1"/>
  <c r="BF70" i="8"/>
  <c r="BG70" i="8" s="1"/>
  <c r="BF145" i="8"/>
  <c r="BG145" i="8" s="1"/>
  <c r="BF53" i="8"/>
  <c r="BG53" i="8" s="1"/>
  <c r="BF54" i="8"/>
  <c r="BG54" i="8" s="1"/>
  <c r="BF176" i="8"/>
  <c r="BG176" i="8" s="1"/>
  <c r="BF91" i="8"/>
  <c r="BG91" i="8" s="1"/>
  <c r="BF136" i="8"/>
  <c r="BG136" i="8" s="1"/>
  <c r="BF143" i="8"/>
  <c r="BG143" i="8" s="1"/>
  <c r="BH65" i="8"/>
  <c r="BI65" i="8" s="1"/>
  <c r="BH124" i="8"/>
  <c r="BI124" i="8" s="1"/>
  <c r="BF147" i="8"/>
  <c r="BG147" i="8" s="1"/>
  <c r="BF63" i="8"/>
  <c r="BG63" i="8" s="1"/>
  <c r="BH165" i="8"/>
  <c r="BI165" i="8" s="1"/>
  <c r="BH81" i="8"/>
  <c r="BI81" i="8" s="1"/>
  <c r="BF172" i="8"/>
  <c r="BG172" i="8" s="1"/>
  <c r="BH128" i="8"/>
  <c r="BI128" i="8" s="1"/>
  <c r="BF74" i="8"/>
  <c r="BG74" i="8" s="1"/>
  <c r="BF98" i="8"/>
  <c r="BG98" i="8" s="1"/>
  <c r="BH119" i="8"/>
  <c r="BI119" i="8" s="1"/>
  <c r="BF102" i="8"/>
  <c r="BG102" i="8" s="1"/>
  <c r="BF127" i="8"/>
  <c r="BG127" i="8" s="1"/>
  <c r="BF90" i="8"/>
  <c r="BG90" i="8" s="1"/>
  <c r="BF80" i="8"/>
  <c r="BG80" i="8" s="1"/>
  <c r="BH59" i="8"/>
  <c r="BI59" i="8" s="1"/>
  <c r="BH117" i="8"/>
  <c r="BI117" i="8" s="1"/>
  <c r="BH107" i="8"/>
  <c r="BI107" i="8" s="1"/>
  <c r="BF50" i="8"/>
  <c r="BG50" i="8" s="1"/>
  <c r="BH118" i="8"/>
  <c r="BI118" i="8" s="1"/>
  <c r="BF142" i="8"/>
  <c r="BG142" i="8" s="1"/>
  <c r="BH170" i="8"/>
  <c r="BI170" i="8" s="1"/>
  <c r="BH66" i="8"/>
  <c r="BI66" i="8" s="1"/>
  <c r="BH134" i="8"/>
  <c r="BI134" i="8" s="1"/>
  <c r="BF93" i="8"/>
  <c r="BG93" i="8" s="1"/>
  <c r="BH52" i="8"/>
  <c r="BI52" i="8" s="1"/>
  <c r="BH58" i="8"/>
  <c r="BI58" i="8" s="1"/>
  <c r="BH158" i="8"/>
  <c r="BI158" i="8" s="1"/>
  <c r="BF99" i="8"/>
  <c r="BG99" i="8" s="1"/>
  <c r="BH104" i="8"/>
  <c r="BI104" i="8" s="1"/>
  <c r="BF106" i="8"/>
  <c r="BG106" i="8" s="1"/>
  <c r="BH150" i="8"/>
  <c r="BI150" i="8" s="1"/>
  <c r="BH131" i="8"/>
  <c r="BI131" i="8" s="1"/>
  <c r="BH159" i="8"/>
  <c r="BI159" i="8" s="1"/>
  <c r="BF175" i="8"/>
  <c r="BG175" i="8" s="1"/>
  <c r="BH138" i="8"/>
  <c r="BI138" i="8" s="1"/>
  <c r="BF132" i="8"/>
  <c r="BG132" i="8" s="1"/>
  <c r="BF72" i="8"/>
  <c r="BG72" i="8" s="1"/>
  <c r="BF76" i="8"/>
  <c r="BG76" i="8" s="1"/>
  <c r="BF114" i="8"/>
  <c r="BG114" i="8" s="1"/>
  <c r="BF71" i="8"/>
  <c r="BG71" i="8" s="1"/>
  <c r="BH126" i="8"/>
  <c r="BI126" i="8" s="1"/>
  <c r="BH51" i="8"/>
  <c r="BI51" i="8" s="1"/>
  <c r="BF103" i="8"/>
  <c r="BG103" i="8" s="1"/>
  <c r="BF75" i="8"/>
  <c r="BG75" i="8" s="1"/>
  <c r="BH154" i="8"/>
  <c r="BI154" i="8" s="1"/>
  <c r="BF97" i="8"/>
  <c r="BG97" i="8" s="1"/>
  <c r="BF111" i="8"/>
  <c r="BG111" i="8" s="1"/>
  <c r="BF108" i="8"/>
  <c r="BG108" i="8" s="1"/>
  <c r="BF140" i="8"/>
  <c r="BG140" i="8" s="1"/>
  <c r="BF94" i="8"/>
  <c r="BG94" i="8" s="1"/>
  <c r="BH62" i="8"/>
  <c r="BI62" i="8" s="1"/>
  <c r="BF130" i="8"/>
  <c r="BG130" i="8" s="1"/>
  <c r="BH125" i="8"/>
  <c r="BI125" i="8" s="1"/>
  <c r="BH56" i="8"/>
  <c r="BI56" i="8" s="1"/>
  <c r="BF168" i="8"/>
  <c r="BG168" i="8" s="1"/>
  <c r="BH149" i="8"/>
  <c r="BI149" i="8" s="1"/>
  <c r="BF123" i="8"/>
  <c r="BG123" i="8" s="1"/>
  <c r="BF169" i="8"/>
  <c r="BG169" i="8" s="1"/>
  <c r="BF88" i="8"/>
  <c r="BG88" i="8" s="1"/>
  <c r="BF57" i="8"/>
  <c r="BG57" i="8" s="1"/>
  <c r="BH177" i="8"/>
  <c r="BI177" i="8" s="1"/>
  <c r="BF122" i="8"/>
  <c r="BG122" i="8" s="1"/>
  <c r="BF151" i="8"/>
  <c r="BG151" i="8" s="1"/>
  <c r="BF156" i="8"/>
  <c r="BG156" i="8" s="1"/>
  <c r="BF85" i="8"/>
  <c r="BG85" i="8" s="1"/>
  <c r="BF109" i="8"/>
  <c r="BG109" i="8" s="1"/>
  <c r="BH161" i="8"/>
  <c r="BI161" i="8" s="1"/>
  <c r="BF73" i="8"/>
  <c r="BG73" i="8" s="1"/>
  <c r="BH83" i="8"/>
  <c r="BI83" i="8" s="1"/>
  <c r="BF87" i="8"/>
  <c r="BG87" i="8" s="1"/>
  <c r="BF163" i="8"/>
  <c r="BG163" i="8" s="1"/>
  <c r="BH116" i="8"/>
  <c r="BI116" i="8" s="1"/>
  <c r="BF112" i="8"/>
  <c r="BG112" i="8" s="1"/>
  <c r="BF162" i="8"/>
  <c r="BG162" i="8" s="1"/>
  <c r="BF60" i="8"/>
  <c r="BG60" i="8" s="1"/>
  <c r="BF55" i="8"/>
  <c r="BG55" i="8" s="1"/>
  <c r="BF167" i="8"/>
  <c r="BG167" i="8" s="1"/>
  <c r="BF174" i="8"/>
  <c r="BG174" i="8" s="1"/>
  <c r="BH110" i="8"/>
  <c r="BI110" i="8" s="1"/>
  <c r="BF95" i="8"/>
  <c r="BG95" i="8" s="1"/>
  <c r="BF105" i="8"/>
  <c r="BG105" i="8" s="1"/>
  <c r="BH69" i="8"/>
  <c r="BI69" i="8" s="1"/>
  <c r="E16" i="6" l="1"/>
  <c r="G49" i="1" s="1"/>
  <c r="E15" i="6"/>
  <c r="G50" i="1" s="1"/>
  <c r="E11" i="6"/>
  <c r="E10" i="6"/>
  <c r="G51" i="1" l="1"/>
  <c r="E13" i="6"/>
  <c r="F53" i="1" s="1"/>
  <c r="E14" i="6" l="1"/>
  <c r="F52" i="1" s="1"/>
  <c r="T17" i="2" l="1"/>
  <c r="H31" i="1"/>
  <c r="I124" i="1" s="1"/>
  <c r="G112" i="1" l="1"/>
  <c r="G33" i="1" a="1"/>
  <c r="G33" i="1" s="1"/>
  <c r="L18" i="8"/>
  <c r="L14" i="8" s="1"/>
  <c r="K14" i="8" s="1"/>
  <c r="E18" i="6" l="1"/>
  <c r="F58" i="1" s="1"/>
  <c r="T13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Steve Cartier</author>
  </authors>
  <commentList>
    <comment ref="F55" authorId="0" shapeId="0" xr:uid="{C5D7FB40-68DF-4881-AD7F-58B78C673BCC}">
      <text>
        <r>
          <rPr>
            <b/>
            <sz val="9"/>
            <color indexed="81"/>
            <rFont val="Tahoma"/>
            <family val="2"/>
          </rPr>
          <t xml:space="preserve">Value enterred shall be </t>
        </r>
        <r>
          <rPr>
            <b/>
            <u/>
            <sz val="9"/>
            <color indexed="81"/>
            <rFont val="Tahoma"/>
            <family val="2"/>
          </rPr>
          <t>&lt;</t>
        </r>
        <r>
          <rPr>
            <b/>
            <sz val="9"/>
            <color indexed="81"/>
            <rFont val="Tahoma"/>
            <family val="2"/>
          </rPr>
          <t>992mV</t>
        </r>
      </text>
    </comment>
    <comment ref="G124" authorId="0" shapeId="0" xr:uid="{D3FC828C-97A6-463B-A819-AE94641A3358}">
      <text>
        <r>
          <rPr>
            <b/>
            <sz val="9"/>
            <color indexed="81"/>
            <rFont val="Tahoma"/>
            <family val="2"/>
          </rPr>
          <t>Enter "NA" if Rfb not used (open)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Steve Cartier</author>
  </authors>
  <commentList>
    <comment ref="E37" authorId="0" shapeId="0" xr:uid="{A162FA71-C72E-4CE2-BB7E-99CB03CE1A50}">
      <text>
        <r>
          <rPr>
            <b/>
            <sz val="9"/>
            <color indexed="81"/>
            <rFont val="Tahoma"/>
            <family val="2"/>
          </rPr>
          <t>link to Front!G104</t>
        </r>
      </text>
    </comment>
    <comment ref="D39" authorId="0" shapeId="0" xr:uid="{BD9D6B72-370D-4EAA-901A-EE46DA261C91}">
      <text>
        <r>
          <rPr>
            <b/>
            <sz val="9"/>
            <color indexed="81"/>
            <rFont val="Tahoma"/>
            <family val="2"/>
          </rPr>
          <t>link to Front!F92 - multiply by 1E9</t>
        </r>
      </text>
    </comment>
    <comment ref="D40" authorId="0" shapeId="0" xr:uid="{200A6667-03C6-4EF5-886B-A8068955BA40}">
      <text>
        <r>
          <rPr>
            <b/>
            <sz val="9"/>
            <color indexed="81"/>
            <rFont val="Tahoma"/>
            <family val="2"/>
          </rPr>
          <t>link to Front!F91 - multiply by 1E3</t>
        </r>
      </text>
    </comment>
    <comment ref="E58" authorId="0" shapeId="0" xr:uid="{3400654A-D095-4CFF-B915-866C301AF721}">
      <text>
        <r>
          <rPr>
            <b/>
            <sz val="9"/>
            <color indexed="81"/>
            <rFont val="Tahoma"/>
            <family val="2"/>
          </rPr>
          <t>link to Front!G105</t>
        </r>
      </text>
    </comment>
    <comment ref="D70" authorId="0" shapeId="0" xr:uid="{572A5DDC-462D-4998-9231-767D1F324376}">
      <text>
        <r>
          <rPr>
            <b/>
            <sz val="9"/>
            <color indexed="81"/>
            <rFont val="Tahoma"/>
            <family val="2"/>
          </rPr>
          <t>link to Front F90</t>
        </r>
      </text>
    </comment>
    <comment ref="E88" authorId="0" shapeId="0" xr:uid="{0BE3D846-FBC9-480E-9214-28DDEB18A1A5}">
      <text>
        <r>
          <rPr>
            <b/>
            <sz val="9"/>
            <color indexed="81"/>
            <rFont val="Tahoma"/>
            <family val="2"/>
          </rPr>
          <t>link to Front!G72</t>
        </r>
      </text>
    </comment>
    <comment ref="D92" authorId="0" shapeId="0" xr:uid="{1E84A772-93AE-456C-BC1A-C21456F3792B}">
      <text>
        <r>
          <rPr>
            <b/>
            <sz val="9"/>
            <color indexed="81"/>
            <rFont val="Tahoma"/>
            <family val="2"/>
          </rPr>
          <t>link to Front!F64</t>
        </r>
      </text>
    </comment>
    <comment ref="D93" authorId="0" shapeId="0" xr:uid="{6AAC423F-778D-412A-B274-79EFCFB5A4DA}">
      <text>
        <r>
          <rPr>
            <b/>
            <sz val="9"/>
            <color indexed="81"/>
            <rFont val="Tahoma"/>
            <family val="2"/>
          </rPr>
          <t>link to Front!F65</t>
        </r>
      </text>
    </comment>
    <comment ref="E115" authorId="0" shapeId="0" xr:uid="{343E9F55-191A-488A-9703-856F0365A04D}">
      <text>
        <r>
          <rPr>
            <b/>
            <sz val="9"/>
            <color indexed="81"/>
            <rFont val="Tahoma"/>
            <family val="2"/>
          </rPr>
          <t>link to Front!G77</t>
        </r>
      </text>
    </comment>
    <comment ref="D120" authorId="0" shapeId="0" xr:uid="{4C0D9F81-D296-4FF7-AB7A-320D78110A85}">
      <text>
        <r>
          <rPr>
            <b/>
            <sz val="9"/>
            <color indexed="81"/>
            <rFont val="Tahoma"/>
            <family val="2"/>
          </rPr>
          <t>link to Front!F75</t>
        </r>
      </text>
    </comment>
    <comment ref="D123" authorId="0" shapeId="0" xr:uid="{C4592C27-BC82-4EED-8A1B-83953B150564}">
      <text>
        <r>
          <rPr>
            <b/>
            <sz val="9"/>
            <color indexed="81"/>
            <rFont val="Tahoma"/>
            <family val="2"/>
          </rPr>
          <t>link to Front!F74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Steve Cartier</author>
  </authors>
  <commentList>
    <comment ref="K37" authorId="0" shapeId="0" xr:uid="{D399F04E-EE26-44C0-B317-9DF5EB4956F3}">
      <text>
        <r>
          <rPr>
            <b/>
            <sz val="9"/>
            <color indexed="81"/>
            <rFont val="Tahoma"/>
            <family val="2"/>
          </rPr>
          <t>Steve Cartier:</t>
        </r>
        <r>
          <rPr>
            <sz val="9"/>
            <color indexed="81"/>
            <rFont val="Tahoma"/>
            <family val="2"/>
          </rPr>
          <t xml:space="preserve">
link to Front G84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<sst xmlns="http://schemas.openxmlformats.org/spreadsheetml/2006/main" count="843" uniqueCount="510">
  <si>
    <t>Items</t>
  </si>
  <si>
    <t>Value</t>
  </si>
  <si>
    <t>Unit</t>
  </si>
  <si>
    <r>
      <rPr>
        <b/>
        <sz val="12"/>
        <color rgb="FF000000"/>
        <rFont val="Times New Roman"/>
        <family val="1"/>
        <charset val="1"/>
      </rPr>
      <t>V</t>
    </r>
    <r>
      <rPr>
        <b/>
        <vertAlign val="subscript"/>
        <sz val="12"/>
        <color rgb="FF000000"/>
        <rFont val="Times New Roman"/>
        <family val="1"/>
        <charset val="1"/>
      </rPr>
      <t>IN</t>
    </r>
  </si>
  <si>
    <t>V</t>
  </si>
  <si>
    <t>Input Voltage</t>
  </si>
  <si>
    <r>
      <rPr>
        <b/>
        <sz val="12"/>
        <color rgb="FF000000"/>
        <rFont val="Times New Roman"/>
        <family val="1"/>
        <charset val="1"/>
      </rPr>
      <t>V</t>
    </r>
    <r>
      <rPr>
        <b/>
        <vertAlign val="subscript"/>
        <sz val="12"/>
        <color rgb="FF000000"/>
        <rFont val="Times New Roman"/>
        <family val="1"/>
        <charset val="1"/>
      </rPr>
      <t>OUT</t>
    </r>
  </si>
  <si>
    <t>Nominal Output Voltage</t>
  </si>
  <si>
    <t>A</t>
  </si>
  <si>
    <r>
      <rPr>
        <b/>
        <sz val="12"/>
        <color rgb="FF000000"/>
        <rFont val="Times New Roman"/>
        <family val="1"/>
        <charset val="1"/>
      </rPr>
      <t>I</t>
    </r>
    <r>
      <rPr>
        <b/>
        <vertAlign val="subscript"/>
        <sz val="12"/>
        <color rgb="FF000000"/>
        <rFont val="Times New Roman"/>
        <family val="1"/>
        <charset val="1"/>
      </rPr>
      <t>LOAD_STEP</t>
    </r>
  </si>
  <si>
    <t>±</t>
  </si>
  <si>
    <t>%</t>
  </si>
  <si>
    <r>
      <rPr>
        <b/>
        <sz val="12"/>
        <color rgb="FF000000"/>
        <rFont val="Times New Roman"/>
        <family val="1"/>
        <charset val="1"/>
      </rPr>
      <t>ΔV</t>
    </r>
    <r>
      <rPr>
        <b/>
        <vertAlign val="subscript"/>
        <sz val="12"/>
        <color rgb="FF000000"/>
        <rFont val="Times New Roman"/>
        <family val="1"/>
        <charset val="1"/>
      </rPr>
      <t>OUT_AC</t>
    </r>
  </si>
  <si>
    <t>mVpp</t>
  </si>
  <si>
    <r>
      <rPr>
        <b/>
        <sz val="12"/>
        <color rgb="FF000000"/>
        <rFont val="Times New Roman"/>
        <family val="1"/>
        <charset val="1"/>
      </rPr>
      <t>ΔV</t>
    </r>
    <r>
      <rPr>
        <b/>
        <vertAlign val="subscript"/>
        <sz val="12"/>
        <color rgb="FF000000"/>
        <rFont val="Times New Roman"/>
        <family val="1"/>
        <charset val="1"/>
      </rPr>
      <t>IN_AC</t>
    </r>
  </si>
  <si>
    <t>mV</t>
  </si>
  <si>
    <t>PMBus with Telemetry</t>
  </si>
  <si>
    <t>Requires PMBus interface with VIN, IIN, VOUT, IOUT, and Temp readings</t>
  </si>
  <si>
    <t>Operation Mode &amp; Parameters</t>
  </si>
  <si>
    <t>Recommended</t>
  </si>
  <si>
    <t>Actual</t>
  </si>
  <si>
    <t>Phases</t>
  </si>
  <si>
    <t>Fsw</t>
  </si>
  <si>
    <t>kHz</t>
  </si>
  <si>
    <t>kΩ</t>
  </si>
  <si>
    <t>Soft-Start Time</t>
  </si>
  <si>
    <t>ms</t>
  </si>
  <si>
    <t>Protection Mode</t>
  </si>
  <si>
    <t xml:space="preserve"> -</t>
  </si>
  <si>
    <t>Selected Protection Mode (Latch Off or Hiccup)</t>
  </si>
  <si>
    <r>
      <rPr>
        <b/>
        <sz val="12"/>
        <color rgb="FF000000"/>
        <rFont val="Times New Roman"/>
        <family val="1"/>
      </rPr>
      <t>I</t>
    </r>
    <r>
      <rPr>
        <b/>
        <vertAlign val="subscript"/>
        <sz val="12"/>
        <color rgb="FF000000"/>
        <rFont val="Times New Roman"/>
        <family val="1"/>
      </rPr>
      <t>VLY</t>
    </r>
  </si>
  <si>
    <t>Operating Mode Selection</t>
  </si>
  <si>
    <t>1 scale (V)</t>
  </si>
  <si>
    <t>½ scale (V)</t>
  </si>
  <si>
    <t>¼ scale (V)</t>
  </si>
  <si>
    <t>Mode</t>
  </si>
  <si>
    <t>Phases (N)</t>
  </si>
  <si>
    <t>(A)</t>
  </si>
  <si>
    <t>Hiccup</t>
  </si>
  <si>
    <t>Error (Outside Limits)</t>
  </si>
  <si>
    <t>Calculated Value</t>
  </si>
  <si>
    <t>User Input Value</t>
  </si>
  <si>
    <t>Latch_Off</t>
  </si>
  <si>
    <r>
      <t>R</t>
    </r>
    <r>
      <rPr>
        <b/>
        <vertAlign val="subscript"/>
        <sz val="12"/>
        <color rgb="FF000000"/>
        <rFont val="Times New Roman"/>
        <family val="1"/>
      </rPr>
      <t xml:space="preserve">IMON/ILIM </t>
    </r>
  </si>
  <si>
    <r>
      <t>R</t>
    </r>
    <r>
      <rPr>
        <b/>
        <vertAlign val="subscript"/>
        <sz val="12"/>
        <color rgb="FF000000"/>
        <rFont val="Times New Roman"/>
        <family val="1"/>
      </rPr>
      <t>SS/MODE1</t>
    </r>
  </si>
  <si>
    <t>Half</t>
  </si>
  <si>
    <t>One</t>
  </si>
  <si>
    <t>Quarter</t>
  </si>
  <si>
    <t>One_Phase</t>
  </si>
  <si>
    <t>Two_Phase</t>
  </si>
  <si>
    <t>Three_Phase</t>
  </si>
  <si>
    <t>Four_Phase</t>
  </si>
  <si>
    <t>Value</t>
    <phoneticPr fontId="2" type="noConversion"/>
  </si>
  <si>
    <t>Unit</t>
    <phoneticPr fontId="2" type="noConversion"/>
  </si>
  <si>
    <t>V</t>
    <phoneticPr fontId="2" type="noConversion"/>
  </si>
  <si>
    <t>Vin UVLO</t>
  </si>
  <si>
    <t>Expected</t>
    <phoneticPr fontId="2" type="noConversion"/>
  </si>
  <si>
    <t>Hysteresis of Vin UVLO</t>
  </si>
  <si>
    <t>Hysteresis of ENABLE</t>
  </si>
  <si>
    <t>R2</t>
    <phoneticPr fontId="18" type="noConversion"/>
  </si>
  <si>
    <t>R1</t>
    <phoneticPr fontId="18" type="noConversion"/>
  </si>
  <si>
    <r>
      <t>V</t>
    </r>
    <r>
      <rPr>
        <b/>
        <vertAlign val="subscript"/>
        <sz val="12"/>
        <color theme="1"/>
        <rFont val="Times New Roman"/>
        <family val="1"/>
      </rPr>
      <t>IN_L</t>
    </r>
    <phoneticPr fontId="18" type="noConversion"/>
  </si>
  <si>
    <r>
      <t>V</t>
    </r>
    <r>
      <rPr>
        <b/>
        <vertAlign val="subscript"/>
        <sz val="12"/>
        <color theme="1"/>
        <rFont val="Times New Roman"/>
        <family val="1"/>
      </rPr>
      <t>IN_H</t>
    </r>
    <phoneticPr fontId="18" type="noConversion"/>
  </si>
  <si>
    <r>
      <t>V</t>
    </r>
    <r>
      <rPr>
        <b/>
        <vertAlign val="subscript"/>
        <sz val="12"/>
        <color theme="1"/>
        <rFont val="Times New Roman"/>
        <family val="1"/>
      </rPr>
      <t>IN_HYS</t>
    </r>
    <phoneticPr fontId="18" type="noConversion"/>
  </si>
  <si>
    <t>Input Voltage UVLO &amp; Enable</t>
    <phoneticPr fontId="18" type="noConversion"/>
  </si>
  <si>
    <t>Input Voltage UVLO &amp; Enable</t>
    <phoneticPr fontId="18" type="noConversion"/>
  </si>
  <si>
    <t>uA</t>
    <phoneticPr fontId="18" type="noConversion"/>
  </si>
  <si>
    <t>V</t>
    <phoneticPr fontId="18" type="noConversion"/>
  </si>
  <si>
    <t>kOhm</t>
    <phoneticPr fontId="18" type="noConversion"/>
  </si>
  <si>
    <t>ᲲΩ</t>
    <phoneticPr fontId="18" type="noConversion"/>
  </si>
  <si>
    <t>K</t>
    <phoneticPr fontId="18" type="noConversion"/>
  </si>
  <si>
    <t>R2</t>
    <phoneticPr fontId="18" type="noConversion"/>
  </si>
  <si>
    <t>R1</t>
    <phoneticPr fontId="18" type="noConversion"/>
  </si>
  <si>
    <r>
      <t>V</t>
    </r>
    <r>
      <rPr>
        <vertAlign val="subscript"/>
        <sz val="12"/>
        <color rgb="FF000000"/>
        <rFont val="Times New Roman"/>
        <family val="1"/>
      </rPr>
      <t>EN_TH</t>
    </r>
    <phoneticPr fontId="18" type="noConversion"/>
  </si>
  <si>
    <r>
      <t>I</t>
    </r>
    <r>
      <rPr>
        <vertAlign val="subscript"/>
        <sz val="12"/>
        <color rgb="FF000000"/>
        <rFont val="Times New Roman"/>
        <family val="1"/>
      </rPr>
      <t>HYS</t>
    </r>
    <phoneticPr fontId="18" type="noConversion"/>
  </si>
  <si>
    <r>
      <t>R</t>
    </r>
    <r>
      <rPr>
        <vertAlign val="subscript"/>
        <sz val="12"/>
        <color rgb="FF000000"/>
        <rFont val="Times New Roman"/>
        <family val="1"/>
      </rPr>
      <t>HYS</t>
    </r>
    <phoneticPr fontId="18" type="noConversion"/>
  </si>
  <si>
    <r>
      <t>R</t>
    </r>
    <r>
      <rPr>
        <b/>
        <vertAlign val="subscript"/>
        <sz val="12"/>
        <color theme="1"/>
        <rFont val="Times New Roman"/>
        <family val="1"/>
      </rPr>
      <t>EN</t>
    </r>
    <phoneticPr fontId="18" type="noConversion"/>
  </si>
  <si>
    <r>
      <t>V</t>
    </r>
    <r>
      <rPr>
        <b/>
        <vertAlign val="subscript"/>
        <sz val="12"/>
        <color theme="1"/>
        <rFont val="Times New Roman"/>
        <family val="1"/>
      </rPr>
      <t>EN_HYS</t>
    </r>
    <phoneticPr fontId="18" type="noConversion"/>
  </si>
  <si>
    <r>
      <t>V</t>
    </r>
    <r>
      <rPr>
        <b/>
        <vertAlign val="subscript"/>
        <sz val="12"/>
        <color theme="1"/>
        <rFont val="Times New Roman"/>
        <family val="1"/>
      </rPr>
      <t>EN_L</t>
    </r>
    <phoneticPr fontId="18" type="noConversion"/>
  </si>
  <si>
    <r>
      <t>V</t>
    </r>
    <r>
      <rPr>
        <b/>
        <vertAlign val="subscript"/>
        <sz val="12"/>
        <color theme="1"/>
        <rFont val="Times New Roman"/>
        <family val="1"/>
      </rPr>
      <t>EN_H</t>
    </r>
    <phoneticPr fontId="18" type="noConversion"/>
  </si>
  <si>
    <r>
      <t>R</t>
    </r>
    <r>
      <rPr>
        <vertAlign val="subscript"/>
        <sz val="12"/>
        <color rgb="FF000000"/>
        <rFont val="Times New Roman"/>
        <family val="1"/>
      </rPr>
      <t>EN</t>
    </r>
    <phoneticPr fontId="18" type="noConversion"/>
  </si>
  <si>
    <t>No</t>
  </si>
  <si>
    <t>Value</t>
    <phoneticPr fontId="30" type="noConversion"/>
  </si>
  <si>
    <t>Unit</t>
    <phoneticPr fontId="30" type="noConversion"/>
  </si>
  <si>
    <t>Expected</t>
    <phoneticPr fontId="30" type="noConversion"/>
  </si>
  <si>
    <t>Actual</t>
    <phoneticPr fontId="30" type="noConversion"/>
  </si>
  <si>
    <t>A</t>
    <phoneticPr fontId="30" type="noConversion"/>
  </si>
  <si>
    <t>Inductor Peak-to-Peak Ripple Current</t>
  </si>
  <si>
    <r>
      <t>I</t>
    </r>
    <r>
      <rPr>
        <b/>
        <vertAlign val="subscript"/>
        <sz val="12"/>
        <color theme="1"/>
        <rFont val="Times New Roman"/>
        <family val="1"/>
      </rPr>
      <t>L_PP</t>
    </r>
  </si>
  <si>
    <t>Recommended</t>
    <phoneticPr fontId="30" type="noConversion"/>
  </si>
  <si>
    <t>L</t>
  </si>
  <si>
    <t>uH</t>
    <phoneticPr fontId="30" type="noConversion"/>
  </si>
  <si>
    <t>Inductance of Inductor</t>
  </si>
  <si>
    <t>DCR</t>
  </si>
  <si>
    <t>-</t>
    <phoneticPr fontId="30" type="noConversion"/>
  </si>
  <si>
    <t>mΩ</t>
  </si>
  <si>
    <t>DCR of Inductor</t>
    <phoneticPr fontId="30" type="noConversion"/>
  </si>
  <si>
    <t>uF</t>
  </si>
  <si>
    <t>SP/Bulk Cap</t>
  </si>
  <si>
    <t>Number</t>
  </si>
  <si>
    <t>pcs</t>
  </si>
  <si>
    <t>C</t>
  </si>
  <si>
    <t>uF/pcs</t>
  </si>
  <si>
    <t>Capacitance of Single SP/Bulk Cap</t>
  </si>
  <si>
    <t>ESR</t>
  </si>
  <si>
    <t>mΩ/pcs</t>
  </si>
  <si>
    <t>ESR of Single SP/Bulk Cap</t>
  </si>
  <si>
    <t>ESL</t>
  </si>
  <si>
    <t>nH/pcs</t>
  </si>
  <si>
    <t>ESL of Single SP/Bulk Cap</t>
  </si>
  <si>
    <t>MLCC Cap</t>
  </si>
  <si>
    <t>ESR of Single MLCC Cap</t>
  </si>
  <si>
    <t>ESL of Single MLCC Cap</t>
  </si>
  <si>
    <r>
      <t>C</t>
    </r>
    <r>
      <rPr>
        <b/>
        <vertAlign val="subscript"/>
        <sz val="12"/>
        <rFont val="Times New Roman"/>
        <family val="1"/>
      </rPr>
      <t>Total</t>
    </r>
  </si>
  <si>
    <t>ESR</t>
    <phoneticPr fontId="18" type="noConversion"/>
  </si>
  <si>
    <t>ESL</t>
    <phoneticPr fontId="18" type="noConversion"/>
  </si>
  <si>
    <r>
      <t>I</t>
    </r>
    <r>
      <rPr>
        <b/>
        <vertAlign val="subscript"/>
        <sz val="12"/>
        <color theme="1"/>
        <rFont val="Times New Roman"/>
        <family val="1"/>
      </rPr>
      <t>LIM</t>
    </r>
    <phoneticPr fontId="18" type="noConversion"/>
  </si>
  <si>
    <r>
      <t>C</t>
    </r>
    <r>
      <rPr>
        <b/>
        <vertAlign val="subscript"/>
        <sz val="12"/>
        <color theme="1"/>
        <rFont val="Times New Roman"/>
        <family val="1"/>
      </rPr>
      <t>MLCC</t>
    </r>
  </si>
  <si>
    <r>
      <t>ESR</t>
    </r>
    <r>
      <rPr>
        <b/>
        <vertAlign val="subscript"/>
        <sz val="12"/>
        <color theme="1"/>
        <rFont val="Times New Roman"/>
        <family val="1"/>
      </rPr>
      <t>MLCC</t>
    </r>
  </si>
  <si>
    <t>ƞ</t>
  </si>
  <si>
    <t>-</t>
  </si>
  <si>
    <r>
      <t>ESL</t>
    </r>
    <r>
      <rPr>
        <b/>
        <vertAlign val="subscript"/>
        <sz val="12"/>
        <color theme="1"/>
        <rFont val="Times New Roman"/>
        <family val="1"/>
      </rPr>
      <t>MLCC</t>
    </r>
  </si>
  <si>
    <r>
      <t>Number of C</t>
    </r>
    <r>
      <rPr>
        <b/>
        <vertAlign val="subscript"/>
        <sz val="12"/>
        <rFont val="Times New Roman"/>
        <family val="1"/>
      </rPr>
      <t>MLCC</t>
    </r>
  </si>
  <si>
    <t>Compensation &amp; Bode Plot</t>
  </si>
  <si>
    <t>Output Voltage</t>
  </si>
  <si>
    <t>Expected</t>
  </si>
  <si>
    <t>Vo</t>
  </si>
  <si>
    <t>Close-Loop Bandwidth &amp; Phase Margin</t>
  </si>
  <si>
    <t>Fc</t>
  </si>
  <si>
    <t>PM</t>
  </si>
  <si>
    <t>degree</t>
  </si>
  <si>
    <t>Vout Sense &amp; Compensation Network</t>
  </si>
  <si>
    <t>Recommended</t>
    <phoneticPr fontId="2" type="noConversion"/>
  </si>
  <si>
    <t>Actual</t>
    <phoneticPr fontId="2" type="noConversion"/>
  </si>
  <si>
    <t>pF</t>
  </si>
  <si>
    <t>nH</t>
  </si>
  <si>
    <t>Output Current &amp; LC-Filter</t>
  </si>
  <si>
    <t>Input Current &amp; C-Filter</t>
  </si>
  <si>
    <t>dB</t>
  </si>
  <si>
    <r>
      <t>AV</t>
    </r>
    <r>
      <rPr>
        <vertAlign val="subscript"/>
        <sz val="12"/>
        <color rgb="FF000000"/>
        <rFont val="Times New Roman"/>
        <family val="1"/>
      </rPr>
      <t>EA</t>
    </r>
  </si>
  <si>
    <r>
      <t>GBW</t>
    </r>
    <r>
      <rPr>
        <vertAlign val="subscript"/>
        <sz val="12"/>
        <color rgb="FF000000"/>
        <rFont val="Times New Roman"/>
        <family val="1"/>
      </rPr>
      <t>EA</t>
    </r>
  </si>
  <si>
    <r>
      <t>AV</t>
    </r>
    <r>
      <rPr>
        <vertAlign val="subscript"/>
        <sz val="12"/>
        <color rgb="FF000000"/>
        <rFont val="Times New Roman"/>
        <family val="1"/>
      </rPr>
      <t>CA</t>
    </r>
  </si>
  <si>
    <t>mV/A</t>
  </si>
  <si>
    <r>
      <t>C</t>
    </r>
    <r>
      <rPr>
        <vertAlign val="subscript"/>
        <sz val="12"/>
        <color rgb="FF000000"/>
        <rFont val="Times New Roman"/>
        <family val="1"/>
      </rPr>
      <t>RAMP</t>
    </r>
  </si>
  <si>
    <r>
      <t>I</t>
    </r>
    <r>
      <rPr>
        <vertAlign val="subscript"/>
        <sz val="12"/>
        <color rgb="FF000000"/>
        <rFont val="Times New Roman"/>
        <family val="1"/>
      </rPr>
      <t>RAMP</t>
    </r>
  </si>
  <si>
    <r>
      <rPr>
        <b/>
        <sz val="12"/>
        <color rgb="FF000000"/>
        <rFont val="Times New Roman"/>
        <family val="1"/>
      </rPr>
      <t>S</t>
    </r>
    <r>
      <rPr>
        <b/>
        <vertAlign val="subscript"/>
        <sz val="12"/>
        <color rgb="FF000000"/>
        <rFont val="Times New Roman"/>
        <family val="1"/>
        <charset val="1"/>
      </rPr>
      <t>LOAD_STEP</t>
    </r>
  </si>
  <si>
    <t>A/us</t>
  </si>
  <si>
    <t>rad/s</t>
  </si>
  <si>
    <t>Freq</t>
  </si>
  <si>
    <t>Q</t>
  </si>
  <si>
    <t>s</t>
  </si>
  <si>
    <r>
      <t>V</t>
    </r>
    <r>
      <rPr>
        <vertAlign val="subscript"/>
        <sz val="12"/>
        <color rgb="FF000000"/>
        <rFont val="Times New Roman"/>
        <family val="1"/>
        <charset val="1"/>
      </rPr>
      <t>IN</t>
    </r>
    <r>
      <rPr>
        <sz val="12"/>
        <color rgb="FF000000"/>
        <rFont val="Times New Roman"/>
        <family val="1"/>
        <charset val="1"/>
      </rPr>
      <t xml:space="preserve"> Ripple</t>
    </r>
    <phoneticPr fontId="18" type="noConversion"/>
  </si>
  <si>
    <r>
      <t>I</t>
    </r>
    <r>
      <rPr>
        <b/>
        <vertAlign val="subscript"/>
        <sz val="12"/>
        <color rgb="FF000000"/>
        <rFont val="Times New Roman"/>
        <family val="1"/>
        <charset val="1"/>
      </rPr>
      <t>LOAD_MAX</t>
    </r>
    <phoneticPr fontId="18" type="noConversion"/>
  </si>
  <si>
    <t>Desired Valley Current Limit Threshold</t>
    <phoneticPr fontId="18" type="noConversion"/>
  </si>
  <si>
    <r>
      <t>R</t>
    </r>
    <r>
      <rPr>
        <b/>
        <vertAlign val="subscript"/>
        <sz val="12"/>
        <color rgb="FF000000"/>
        <rFont val="Times New Roman"/>
        <family val="1"/>
      </rPr>
      <t>SYNC/FSET</t>
    </r>
    <phoneticPr fontId="18" type="noConversion"/>
  </si>
  <si>
    <r>
      <t>R</t>
    </r>
    <r>
      <rPr>
        <b/>
        <vertAlign val="subscript"/>
        <sz val="9"/>
        <color rgb="FF000000"/>
        <rFont val="Times New Roman"/>
        <family val="1"/>
      </rPr>
      <t>PIN</t>
    </r>
  </si>
  <si>
    <r>
      <t>(k</t>
    </r>
    <r>
      <rPr>
        <b/>
        <sz val="9"/>
        <color rgb="FF000000"/>
        <rFont val="Symbol"/>
        <family val="1"/>
        <charset val="2"/>
      </rPr>
      <t>W</t>
    </r>
    <r>
      <rPr>
        <b/>
        <sz val="9"/>
        <color rgb="FF000000"/>
        <rFont val="Times New Roman"/>
        <family val="1"/>
      </rPr>
      <t>)</t>
    </r>
  </si>
  <si>
    <r>
      <t>R</t>
    </r>
    <r>
      <rPr>
        <b/>
        <vertAlign val="subscript"/>
        <sz val="9"/>
        <color rgb="FF000000"/>
        <rFont val="Times New Roman"/>
        <family val="1"/>
      </rPr>
      <t>VSET/FAULT</t>
    </r>
    <r>
      <rPr>
        <b/>
        <sz val="9"/>
        <color rgb="FF000000"/>
        <rFont val="Times New Roman"/>
        <family val="1"/>
      </rPr>
      <t xml:space="preserve"> Pin</t>
    </r>
  </si>
  <si>
    <r>
      <t>R</t>
    </r>
    <r>
      <rPr>
        <b/>
        <vertAlign val="subscript"/>
        <sz val="9"/>
        <color rgb="FF000000"/>
        <rFont val="Times New Roman"/>
        <family val="1"/>
      </rPr>
      <t xml:space="preserve">SS/MODE1 </t>
    </r>
    <r>
      <rPr>
        <b/>
        <sz val="9"/>
        <color rgb="FF000000"/>
        <rFont val="Times New Roman"/>
        <family val="1"/>
      </rPr>
      <t>Pin</t>
    </r>
  </si>
  <si>
    <r>
      <t>R</t>
    </r>
    <r>
      <rPr>
        <b/>
        <vertAlign val="subscript"/>
        <sz val="9"/>
        <color rgb="FF000000"/>
        <rFont val="Times New Roman"/>
        <family val="1"/>
      </rPr>
      <t xml:space="preserve">SYNC/FSET </t>
    </r>
    <r>
      <rPr>
        <b/>
        <sz val="9"/>
        <color rgb="FF000000"/>
        <rFont val="Times New Roman"/>
        <family val="1"/>
      </rPr>
      <t>Pin</t>
    </r>
  </si>
  <si>
    <r>
      <t>set V</t>
    </r>
    <r>
      <rPr>
        <b/>
        <vertAlign val="subscript"/>
        <sz val="9"/>
        <color rgb="FF000000"/>
        <rFont val="Times New Roman"/>
        <family val="1"/>
      </rPr>
      <t>OUT</t>
    </r>
    <r>
      <rPr>
        <b/>
        <sz val="9"/>
        <color rgb="FF000000"/>
        <rFont val="Times New Roman"/>
        <family val="1"/>
      </rPr>
      <t xml:space="preserve"> </t>
    </r>
  </si>
  <si>
    <r>
      <t>set V</t>
    </r>
    <r>
      <rPr>
        <b/>
        <vertAlign val="subscript"/>
        <sz val="9"/>
        <color rgb="FF000000"/>
        <rFont val="Times New Roman"/>
        <family val="1"/>
      </rPr>
      <t>OUT</t>
    </r>
    <r>
      <rPr>
        <b/>
        <sz val="9"/>
        <color rgb="FF000000"/>
        <rFont val="Times New Roman"/>
        <family val="1"/>
      </rPr>
      <t xml:space="preserve"> Scale and Soft-Start Time (T</t>
    </r>
    <r>
      <rPr>
        <b/>
        <vertAlign val="subscript"/>
        <sz val="9"/>
        <color rgb="FF000000"/>
        <rFont val="Times New Roman"/>
        <family val="1"/>
      </rPr>
      <t>SS</t>
    </r>
    <r>
      <rPr>
        <b/>
        <sz val="9"/>
        <color rgb="FF000000"/>
        <rFont val="Times New Roman"/>
        <family val="1"/>
      </rPr>
      <t>)</t>
    </r>
  </si>
  <si>
    <r>
      <t>set Current Limit (I</t>
    </r>
    <r>
      <rPr>
        <b/>
        <vertAlign val="subscript"/>
        <sz val="9"/>
        <color rgb="FF000000"/>
        <rFont val="Times New Roman"/>
        <family val="1"/>
      </rPr>
      <t>VLY</t>
    </r>
    <r>
      <rPr>
        <b/>
        <sz val="9"/>
        <color rgb="FF000000"/>
        <rFont val="Times New Roman"/>
        <family val="1"/>
      </rPr>
      <t>), per phase</t>
    </r>
  </si>
  <si>
    <t>set Phase Count and Protection Mode</t>
  </si>
  <si>
    <r>
      <t>set Frequency (F</t>
    </r>
    <r>
      <rPr>
        <b/>
        <vertAlign val="subscript"/>
        <sz val="9"/>
        <color rgb="FF000000"/>
        <rFont val="Times New Roman"/>
        <family val="1"/>
      </rPr>
      <t>SW</t>
    </r>
    <r>
      <rPr>
        <b/>
        <sz val="9"/>
        <color rgb="FF000000"/>
        <rFont val="Times New Roman"/>
        <family val="1"/>
      </rPr>
      <t xml:space="preserve">), </t>
    </r>
  </si>
  <si>
    <t xml:space="preserve">per phase </t>
  </si>
  <si>
    <r>
      <t>T</t>
    </r>
    <r>
      <rPr>
        <b/>
        <vertAlign val="subscript"/>
        <sz val="9"/>
        <color rgb="FF000000"/>
        <rFont val="Times New Roman"/>
        <family val="1"/>
      </rPr>
      <t>SS</t>
    </r>
    <r>
      <rPr>
        <b/>
        <sz val="9"/>
        <color rgb="FF000000"/>
        <rFont val="Times New Roman"/>
        <family val="1"/>
      </rPr>
      <t xml:space="preserve"> (msec)</t>
    </r>
  </si>
  <si>
    <r>
      <t>V</t>
    </r>
    <r>
      <rPr>
        <b/>
        <vertAlign val="subscript"/>
        <sz val="9"/>
        <color rgb="FF000000"/>
        <rFont val="Times New Roman"/>
        <family val="1"/>
      </rPr>
      <t>OUT</t>
    </r>
    <r>
      <rPr>
        <b/>
        <sz val="9"/>
        <color rgb="FF000000"/>
        <rFont val="Times New Roman"/>
        <family val="1"/>
      </rPr>
      <t>-Scale (N)</t>
    </r>
  </si>
  <si>
    <r>
      <t>I</t>
    </r>
    <r>
      <rPr>
        <b/>
        <vertAlign val="subscript"/>
        <sz val="9"/>
        <color rgb="FF000000"/>
        <rFont val="Times New Roman"/>
        <family val="1"/>
      </rPr>
      <t>LIM</t>
    </r>
  </si>
  <si>
    <t>open</t>
  </si>
  <si>
    <t>N/A</t>
    <phoneticPr fontId="18" type="noConversion"/>
  </si>
  <si>
    <r>
      <t>R</t>
    </r>
    <r>
      <rPr>
        <b/>
        <vertAlign val="subscript"/>
        <sz val="9"/>
        <color rgb="FF000000"/>
        <rFont val="Times New Roman"/>
        <family val="1"/>
      </rPr>
      <t xml:space="preserve">MODE2/SFAULT </t>
    </r>
    <r>
      <rPr>
        <b/>
        <sz val="9"/>
        <color rgb="FF000000"/>
        <rFont val="Times New Roman"/>
        <family val="1"/>
      </rPr>
      <t>Pin</t>
    </r>
    <phoneticPr fontId="18" type="noConversion"/>
  </si>
  <si>
    <r>
      <t>R</t>
    </r>
    <r>
      <rPr>
        <b/>
        <vertAlign val="subscript"/>
        <sz val="12"/>
        <color rgb="FF000000"/>
        <rFont val="Times New Roman"/>
        <family val="1"/>
      </rPr>
      <t>MODE2/SFAULT</t>
    </r>
    <phoneticPr fontId="18" type="noConversion"/>
  </si>
  <si>
    <r>
      <t>R</t>
    </r>
    <r>
      <rPr>
        <b/>
        <vertAlign val="subscript"/>
        <sz val="9"/>
        <color rgb="FF000000"/>
        <rFont val="Times New Roman"/>
        <family val="1"/>
      </rPr>
      <t xml:space="preserve">IMON/ILIM </t>
    </r>
    <r>
      <rPr>
        <b/>
        <sz val="9"/>
        <color rgb="FF000000"/>
        <rFont val="Times New Roman"/>
        <family val="1"/>
      </rPr>
      <t>Pin</t>
    </r>
    <phoneticPr fontId="18" type="noConversion"/>
  </si>
  <si>
    <t>Effective Capacitance - DC voltage derating applied from manufacturer datasheet</t>
    <phoneticPr fontId="18" type="noConversion"/>
  </si>
  <si>
    <t>Capacitance of Single MLCC Cap</t>
    <phoneticPr fontId="18" type="noConversion"/>
  </si>
  <si>
    <t>uF</t>
    <phoneticPr fontId="18" type="noConversion"/>
  </si>
  <si>
    <r>
      <t>C</t>
    </r>
    <r>
      <rPr>
        <b/>
        <vertAlign val="subscript"/>
        <sz val="12"/>
        <color theme="1"/>
        <rFont val="Times New Roman"/>
        <family val="1"/>
      </rPr>
      <t>MLCC</t>
    </r>
    <phoneticPr fontId="18" type="noConversion"/>
  </si>
  <si>
    <r>
      <t>C</t>
    </r>
    <r>
      <rPr>
        <b/>
        <vertAlign val="subscript"/>
        <sz val="12"/>
        <color theme="1"/>
        <rFont val="Times New Roman"/>
        <family val="1"/>
      </rPr>
      <t>BULK</t>
    </r>
    <phoneticPr fontId="18" type="noConversion"/>
  </si>
  <si>
    <r>
      <t>DER</t>
    </r>
    <r>
      <rPr>
        <b/>
        <vertAlign val="subscript"/>
        <sz val="12"/>
        <color rgb="FF000000"/>
        <rFont val="Times New Roman"/>
        <family val="1"/>
      </rPr>
      <t>MLCC_IN</t>
    </r>
    <phoneticPr fontId="18" type="noConversion"/>
  </si>
  <si>
    <r>
      <t>DER</t>
    </r>
    <r>
      <rPr>
        <b/>
        <vertAlign val="subscript"/>
        <sz val="12"/>
        <color rgb="FF000000"/>
        <rFont val="Times New Roman"/>
        <family val="1"/>
      </rPr>
      <t>MLCC_OUT</t>
    </r>
    <phoneticPr fontId="18" type="noConversion"/>
  </si>
  <si>
    <r>
      <t>ESL</t>
    </r>
    <r>
      <rPr>
        <b/>
        <vertAlign val="subscript"/>
        <sz val="12"/>
        <color theme="1"/>
        <rFont val="Times New Roman"/>
        <family val="1"/>
      </rPr>
      <t>BULK</t>
    </r>
  </si>
  <si>
    <t>Falling Threshold of Vin UVLO</t>
    <phoneticPr fontId="18" type="noConversion"/>
  </si>
  <si>
    <t>Rising Threshold of Vin UVLO</t>
    <phoneticPr fontId="18" type="noConversion"/>
  </si>
  <si>
    <t>Falling Threshold of ENABLE</t>
    <phoneticPr fontId="18" type="noConversion"/>
  </si>
  <si>
    <t>Rising Threshold of ENABLE</t>
    <phoneticPr fontId="18" type="noConversion"/>
  </si>
  <si>
    <t>Input Ripple Voltage, peak-to-peak</t>
    <phoneticPr fontId="2" type="noConversion"/>
  </si>
  <si>
    <r>
      <t>ΔV</t>
    </r>
    <r>
      <rPr>
        <b/>
        <vertAlign val="subscript"/>
        <sz val="12"/>
        <color theme="1"/>
        <rFont val="Times New Roman"/>
        <family val="1"/>
      </rPr>
      <t>IN_RIPPLE</t>
    </r>
  </si>
  <si>
    <r>
      <t>ESR</t>
    </r>
    <r>
      <rPr>
        <b/>
        <vertAlign val="subscript"/>
        <sz val="12"/>
        <color theme="1"/>
        <rFont val="Times New Roman"/>
        <family val="1"/>
      </rPr>
      <t>BULK</t>
    </r>
    <phoneticPr fontId="18" type="noConversion"/>
  </si>
  <si>
    <r>
      <t>ΔV</t>
    </r>
    <r>
      <rPr>
        <b/>
        <vertAlign val="subscript"/>
        <sz val="12"/>
        <color theme="1"/>
        <rFont val="Times New Roman"/>
        <family val="1"/>
      </rPr>
      <t>IN_TRANSIENT</t>
    </r>
    <phoneticPr fontId="2" type="noConversion"/>
  </si>
  <si>
    <r>
      <t>R</t>
    </r>
    <r>
      <rPr>
        <b/>
        <vertAlign val="subscript"/>
        <sz val="12"/>
        <color rgb="FF000000"/>
        <rFont val="Times New Roman"/>
        <family val="1"/>
      </rPr>
      <t>VSET/FAULT</t>
    </r>
    <phoneticPr fontId="2" type="noConversion"/>
  </si>
  <si>
    <t>A/phase</t>
    <phoneticPr fontId="18" type="noConversion"/>
  </si>
  <si>
    <r>
      <rPr>
        <b/>
        <sz val="12"/>
        <rFont val="Times New Roman"/>
        <family val="1"/>
      </rPr>
      <t>I</t>
    </r>
    <r>
      <rPr>
        <b/>
        <vertAlign val="subscript"/>
        <sz val="12"/>
        <rFont val="Times New Roman"/>
        <family val="1"/>
      </rPr>
      <t>RMS</t>
    </r>
    <phoneticPr fontId="2" type="noConversion"/>
  </si>
  <si>
    <t>A</t>
    <phoneticPr fontId="2" type="noConversion"/>
  </si>
  <si>
    <r>
      <t>ΔV</t>
    </r>
    <r>
      <rPr>
        <b/>
        <vertAlign val="subscript"/>
        <sz val="12"/>
        <color theme="1"/>
        <rFont val="Times New Roman"/>
        <family val="1"/>
      </rPr>
      <t>IN_RIPPLE</t>
    </r>
    <phoneticPr fontId="18" type="noConversion"/>
  </si>
  <si>
    <r>
      <t>ΔV</t>
    </r>
    <r>
      <rPr>
        <b/>
        <vertAlign val="subscript"/>
        <sz val="12"/>
        <color theme="1"/>
        <rFont val="Times New Roman"/>
        <family val="1"/>
      </rPr>
      <t>OUT_RIPPLE</t>
    </r>
    <phoneticPr fontId="18" type="noConversion"/>
  </si>
  <si>
    <r>
      <t>ΔV</t>
    </r>
    <r>
      <rPr>
        <b/>
        <vertAlign val="subscript"/>
        <sz val="12"/>
        <color theme="1"/>
        <rFont val="Times New Roman"/>
        <family val="1"/>
      </rPr>
      <t>OUT_RIPPLE</t>
    </r>
    <phoneticPr fontId="18" type="noConversion"/>
  </si>
  <si>
    <r>
      <t>ΔV</t>
    </r>
    <r>
      <rPr>
        <b/>
        <vertAlign val="subscript"/>
        <sz val="12"/>
        <color theme="1"/>
        <rFont val="微软雅黑"/>
        <family val="1"/>
        <charset val="134"/>
      </rPr>
      <t>OUT</t>
    </r>
    <r>
      <rPr>
        <b/>
        <vertAlign val="subscript"/>
        <sz val="12"/>
        <color theme="1"/>
        <rFont val="Times New Roman"/>
        <family val="1"/>
      </rPr>
      <t>_TRANSIENT</t>
    </r>
    <phoneticPr fontId="2" type="noConversion"/>
  </si>
  <si>
    <t>Output Ripple Voltage, peak-to-peak</t>
    <phoneticPr fontId="2" type="noConversion"/>
  </si>
  <si>
    <t>Enter estimated Efficiency from datasheet curve for usage case</t>
  </si>
  <si>
    <t>Minimum SP/Bulk Cap RMS ripple current rating</t>
  </si>
  <si>
    <t>Switching Frequency, per phase</t>
  </si>
  <si>
    <t>Design Tartget Information</t>
  </si>
  <si>
    <t>Minimum Effective Capacitance - DC voltage derating applied from manufacturer datasheet</t>
  </si>
  <si>
    <t>Maximum ESR of Single SP/Bulk Cap</t>
  </si>
  <si>
    <r>
      <t>V</t>
    </r>
    <r>
      <rPr>
        <b/>
        <vertAlign val="subscript"/>
        <sz val="12"/>
        <color theme="1"/>
        <rFont val="Times New Roman"/>
        <family val="1"/>
      </rPr>
      <t>IN_ESL</t>
    </r>
  </si>
  <si>
    <t>Cbulk</t>
  </si>
  <si>
    <t>Series L between Input Source and Input Capacitors</t>
  </si>
  <si>
    <t>expect</t>
  </si>
  <si>
    <t>actual</t>
  </si>
  <si>
    <t>Input ESL</t>
  </si>
  <si>
    <r>
      <t>MLCC Derating Factor@V</t>
    </r>
    <r>
      <rPr>
        <vertAlign val="subscript"/>
        <sz val="12"/>
        <color theme="1"/>
        <rFont val="Times New Roman"/>
        <family val="1"/>
      </rPr>
      <t xml:space="preserve">OUT: </t>
    </r>
    <r>
      <rPr>
        <sz val="12"/>
        <color theme="1"/>
        <rFont val="Times New Roman"/>
        <family val="1"/>
      </rPr>
      <t>Enter DC voltage derating per manufacturer datasheet</t>
    </r>
  </si>
  <si>
    <r>
      <t>MLCC Derating Factor@V</t>
    </r>
    <r>
      <rPr>
        <vertAlign val="subscript"/>
        <sz val="12"/>
        <color theme="1"/>
        <rFont val="Times New Roman"/>
        <family val="1"/>
      </rPr>
      <t xml:space="preserve">IN: </t>
    </r>
    <r>
      <rPr>
        <sz val="12"/>
        <color theme="1"/>
        <rFont val="Times New Roman"/>
        <family val="1"/>
      </rPr>
      <t>Enter DC voltage derating per manufacturer datasheet</t>
    </r>
  </si>
  <si>
    <t>Output Ripple</t>
  </si>
  <si>
    <r>
      <t>% V</t>
    </r>
    <r>
      <rPr>
        <vertAlign val="subscript"/>
        <sz val="12"/>
        <color rgb="FF000000"/>
        <rFont val="Times New Roman"/>
        <family val="1"/>
      </rPr>
      <t>OUT</t>
    </r>
  </si>
  <si>
    <t>Cout</t>
  </si>
  <si>
    <t>Total Number of Parallel SP/Bulk Caps</t>
  </si>
  <si>
    <t>ESR zero</t>
  </si>
  <si>
    <t>Km</t>
  </si>
  <si>
    <t>Ri</t>
  </si>
  <si>
    <t>Ro</t>
  </si>
  <si>
    <t>V/A</t>
  </si>
  <si>
    <t>num</t>
  </si>
  <si>
    <t>H</t>
  </si>
  <si>
    <t>W</t>
  </si>
  <si>
    <t>F</t>
  </si>
  <si>
    <t>Hz</t>
  </si>
  <si>
    <t>V/s</t>
  </si>
  <si>
    <t>V/V</t>
  </si>
  <si>
    <t>plant</t>
  </si>
  <si>
    <t>gain (V/V)</t>
  </si>
  <si>
    <t>gain (dB)</t>
  </si>
  <si>
    <t>den</t>
  </si>
  <si>
    <t>R1</t>
  </si>
  <si>
    <t>R2</t>
  </si>
  <si>
    <t>R3</t>
  </si>
  <si>
    <t>C2</t>
  </si>
  <si>
    <t>C3</t>
  </si>
  <si>
    <t>C1</t>
  </si>
  <si>
    <t>gain</t>
  </si>
  <si>
    <t>C2 R2</t>
  </si>
  <si>
    <t>R3 C3</t>
  </si>
  <si>
    <t>faze (deg)</t>
  </si>
  <si>
    <t>Wn</t>
  </si>
  <si>
    <t>Name</t>
  </si>
  <si>
    <t>value</t>
  </si>
  <si>
    <t>unit</t>
  </si>
  <si>
    <t>COUT</t>
  </si>
  <si>
    <t xml:space="preserve">ESR </t>
  </si>
  <si>
    <t>derated by 15%</t>
  </si>
  <si>
    <r>
      <t>R</t>
    </r>
    <r>
      <rPr>
        <sz val="9"/>
        <color rgb="FF000000"/>
        <rFont val="Times New Roman"/>
        <family val="1"/>
      </rPr>
      <t>DS</t>
    </r>
    <r>
      <rPr>
        <sz val="12"/>
        <color rgb="FF000000"/>
        <rFont val="Times New Roman"/>
        <family val="1"/>
      </rPr>
      <t>_L</t>
    </r>
  </si>
  <si>
    <t>NCP3286/96</t>
  </si>
  <si>
    <t>NCP3294</t>
  </si>
  <si>
    <r>
      <t>m</t>
    </r>
    <r>
      <rPr>
        <sz val="12"/>
        <rFont val="Symbol"/>
        <family val="1"/>
        <charset val="2"/>
      </rPr>
      <t>W</t>
    </r>
  </si>
  <si>
    <t>by virtue of trim - CS loop gain same for both flavors</t>
  </si>
  <si>
    <t>T</t>
  </si>
  <si>
    <t>sec</t>
  </si>
  <si>
    <t>Ton</t>
  </si>
  <si>
    <t>Toff</t>
  </si>
  <si>
    <t>Duty</t>
  </si>
  <si>
    <t>N</t>
  </si>
  <si>
    <t>Se</t>
  </si>
  <si>
    <r>
      <t>V</t>
    </r>
    <r>
      <rPr>
        <sz val="9"/>
        <color rgb="FF000000"/>
        <rFont val="Times New Roman"/>
        <family val="1"/>
      </rPr>
      <t>SL</t>
    </r>
  </si>
  <si>
    <t xml:space="preserve">V </t>
  </si>
  <si>
    <t>K'mp</t>
  </si>
  <si>
    <t>voltage modulator gain</t>
  </si>
  <si>
    <t>Qz</t>
  </si>
  <si>
    <t>freq (Hz)</t>
  </si>
  <si>
    <t>w (rad/s)</t>
  </si>
  <si>
    <t>num top</t>
  </si>
  <si>
    <t>num bot</t>
  </si>
  <si>
    <t>den1 top</t>
  </si>
  <si>
    <t>den2 top</t>
  </si>
  <si>
    <t>den1 bot</t>
  </si>
  <si>
    <t>den1</t>
  </si>
  <si>
    <t>Rs</t>
  </si>
  <si>
    <t>He</t>
  </si>
  <si>
    <t>He2</t>
  </si>
  <si>
    <t>He3</t>
  </si>
  <si>
    <r>
      <t>R</t>
    </r>
    <r>
      <rPr>
        <sz val="9"/>
        <color rgb="FF000000"/>
        <rFont val="Times New Roman"/>
        <family val="1"/>
      </rPr>
      <t>DS</t>
    </r>
    <r>
      <rPr>
        <sz val="12"/>
        <color rgb="FF000000"/>
        <rFont val="Times New Roman"/>
        <family val="1"/>
      </rPr>
      <t>_H</t>
    </r>
  </si>
  <si>
    <t>plant gain (V/V)</t>
  </si>
  <si>
    <t xml:space="preserve">plant gain (dB) </t>
  </si>
  <si>
    <t>plant phase (deg)</t>
  </si>
  <si>
    <t>Plant</t>
  </si>
  <si>
    <t>flavor dependence for Rs and Duty</t>
  </si>
  <si>
    <t xml:space="preserve">flavor dependent </t>
  </si>
  <si>
    <t>Fcross (0dB)</t>
  </si>
  <si>
    <t>Item</t>
  </si>
  <si>
    <r>
      <t>R</t>
    </r>
    <r>
      <rPr>
        <b/>
        <vertAlign val="subscript"/>
        <sz val="12"/>
        <rFont val="Times New Roman"/>
        <family val="1"/>
      </rPr>
      <t>FB</t>
    </r>
  </si>
  <si>
    <t>Compensator values</t>
  </si>
  <si>
    <t>calculated</t>
  </si>
  <si>
    <t>user</t>
  </si>
  <si>
    <t>from Front page</t>
  </si>
  <si>
    <t>to Front page</t>
  </si>
  <si>
    <t>Rfb</t>
  </si>
  <si>
    <r>
      <t>(k</t>
    </r>
    <r>
      <rPr>
        <sz val="12"/>
        <color rgb="FF000000"/>
        <rFont val="Symbol"/>
        <family val="1"/>
        <charset val="2"/>
      </rPr>
      <t>W</t>
    </r>
    <r>
      <rPr>
        <sz val="12"/>
        <color rgb="FF000000"/>
        <rFont val="Times New Roman"/>
        <family val="1"/>
      </rPr>
      <t xml:space="preserve"> and pF)</t>
    </r>
  </si>
  <si>
    <r>
      <t>(</t>
    </r>
    <r>
      <rPr>
        <sz val="12"/>
        <color rgb="FF000000"/>
        <rFont val="Symbol"/>
        <family val="1"/>
        <charset val="2"/>
      </rPr>
      <t>W</t>
    </r>
    <r>
      <rPr>
        <sz val="12"/>
        <color rgb="FF000000"/>
        <rFont val="Times New Roman"/>
        <family val="1"/>
      </rPr>
      <t xml:space="preserve"> and F)</t>
    </r>
  </si>
  <si>
    <t>System, User Compensation</t>
  </si>
  <si>
    <t>User Compensation</t>
  </si>
  <si>
    <t>Suggested Compensation</t>
  </si>
  <si>
    <t>System, Suggested Compensation</t>
  </si>
  <si>
    <t>phase' (deg)</t>
  </si>
  <si>
    <t>faze</t>
  </si>
  <si>
    <t>deg</t>
  </si>
  <si>
    <t>target comp gain at Fcross</t>
  </si>
  <si>
    <t>target comp phase at Fcross</t>
  </si>
  <si>
    <t>dominant pole</t>
  </si>
  <si>
    <t>phase boost at Fcross</t>
  </si>
  <si>
    <t>target Fcross</t>
  </si>
  <si>
    <t>k</t>
  </si>
  <si>
    <t>Rfb modifier</t>
  </si>
  <si>
    <t xml:space="preserve">den2 </t>
  </si>
  <si>
    <t>load resistance</t>
  </si>
  <si>
    <t xml:space="preserve">den3 </t>
  </si>
  <si>
    <t>damping poles</t>
  </si>
  <si>
    <t>LC</t>
  </si>
  <si>
    <t>rk</t>
  </si>
  <si>
    <t>uses Venable Type 3 method</t>
  </si>
  <si>
    <t>user Fcross</t>
  </si>
  <si>
    <t>user Phase cross</t>
  </si>
  <si>
    <r>
      <t>V</t>
    </r>
    <r>
      <rPr>
        <b/>
        <vertAlign val="subscript"/>
        <sz val="12"/>
        <color rgb="FF000000"/>
        <rFont val="Times New Roman"/>
        <family val="1"/>
      </rPr>
      <t xml:space="preserve">OUT  </t>
    </r>
    <r>
      <rPr>
        <b/>
        <sz val="12"/>
        <color rgb="FF000000"/>
        <rFont val="Times New Roman"/>
        <family val="1"/>
        <charset val="1"/>
      </rPr>
      <t>Scale</t>
    </r>
  </si>
  <si>
    <t>Desired Soft-Start Time</t>
  </si>
  <si>
    <t>Target</t>
  </si>
  <si>
    <t>UVLO or not</t>
  </si>
  <si>
    <t>Rated Capacitance of Single MLCC Cap</t>
  </si>
  <si>
    <t>effective duty</t>
  </si>
  <si>
    <t>Venable method can be improved upon, but that will be reserved for future rev.</t>
  </si>
  <si>
    <t>Output DC Current Limit</t>
  </si>
  <si>
    <r>
      <t>V</t>
    </r>
    <r>
      <rPr>
        <vertAlign val="subscript"/>
        <sz val="12"/>
        <color rgb="FF000000"/>
        <rFont val="Times New Roman"/>
        <family val="1"/>
        <charset val="1"/>
      </rPr>
      <t>OUT</t>
    </r>
    <r>
      <rPr>
        <sz val="12"/>
        <color rgb="FF000000"/>
        <rFont val="Times New Roman"/>
        <family val="1"/>
        <charset val="1"/>
      </rPr>
      <t xml:space="preserve"> Ripple</t>
    </r>
    <r>
      <rPr>
        <sz val="12"/>
        <color theme="1"/>
        <rFont val="Times New Roman"/>
        <family val="1"/>
      </rPr>
      <t>, peak-peak</t>
    </r>
  </si>
  <si>
    <t>Vin UVLO Function Set at EN Pin ?</t>
  </si>
  <si>
    <t>Load Step Slope (di/dt)</t>
  </si>
  <si>
    <r>
      <t xml:space="preserve">NCP3296  Design Aid
</t>
    </r>
    <r>
      <rPr>
        <b/>
        <sz val="18"/>
        <color theme="0"/>
        <rFont val="Times New Roman"/>
        <family val="1"/>
      </rPr>
      <t>40A Stackable Integrated Buck Converter</t>
    </r>
    <r>
      <rPr>
        <b/>
        <sz val="18"/>
        <color rgb="FFFFFFFF"/>
        <rFont val="Times New Roman"/>
        <family val="1"/>
        <charset val="1"/>
      </rPr>
      <t xml:space="preserve"> </t>
    </r>
  </si>
  <si>
    <t xml:space="preserve">freq                    </t>
  </si>
  <si>
    <t xml:space="preserve">Gain                    </t>
  </si>
  <si>
    <t xml:space="preserve">Phase                   </t>
  </si>
  <si>
    <t>L:</t>
  </si>
  <si>
    <t>comp:</t>
  </si>
  <si>
    <t>simplis</t>
  </si>
  <si>
    <t>design-aid</t>
  </si>
  <si>
    <r>
      <t>470nH, 400u</t>
    </r>
    <r>
      <rPr>
        <sz val="12"/>
        <rFont val="Symbol"/>
        <family val="1"/>
        <charset val="2"/>
      </rPr>
      <t>W</t>
    </r>
  </si>
  <si>
    <r>
      <t xml:space="preserve">Resistor at SYNC/FSET </t>
    </r>
    <r>
      <rPr>
        <sz val="12"/>
        <rFont val="Times New Roman"/>
        <family val="1"/>
        <charset val="1"/>
      </rPr>
      <t>Pin</t>
    </r>
  </si>
  <si>
    <t>Resistor at SS/MODE1 Pin</t>
  </si>
  <si>
    <r>
      <t>Resistor at MODE2/SFAULT</t>
    </r>
    <r>
      <rPr>
        <sz val="12"/>
        <rFont val="Times New Roman"/>
        <family val="1"/>
        <charset val="1"/>
      </rPr>
      <t xml:space="preserve"> Pin</t>
    </r>
  </si>
  <si>
    <r>
      <t xml:space="preserve">Resistor at IMON/ILIM </t>
    </r>
    <r>
      <rPr>
        <sz val="12"/>
        <rFont val="Times New Roman"/>
        <family val="1"/>
        <charset val="1"/>
      </rPr>
      <t>Pin</t>
    </r>
  </si>
  <si>
    <r>
      <t xml:space="preserve">Resistor at VSET/FAULT </t>
    </r>
    <r>
      <rPr>
        <sz val="12"/>
        <rFont val="Times New Roman"/>
        <family val="1"/>
        <charset val="1"/>
      </rPr>
      <t>Pin</t>
    </r>
  </si>
  <si>
    <t>1.2Vout, 30A, 1ph, 500kHz   PLANT</t>
  </si>
  <si>
    <t>5V0, 150A, 400kHz, 4ph   PLANT</t>
  </si>
  <si>
    <t xml:space="preserve">Closed-Loop Response:   </t>
  </si>
  <si>
    <t>This section only used to determine output filter values/coefficients for loop calculations and ripple.</t>
  </si>
  <si>
    <t>ESRbulk</t>
  </si>
  <si>
    <t>ESL bulk</t>
  </si>
  <si>
    <t>Cmlcc</t>
  </si>
  <si>
    <t>ESRmlcc</t>
  </si>
  <si>
    <t>ESLmlcc</t>
  </si>
  <si>
    <t>Xl_bulk</t>
  </si>
  <si>
    <t>J_bulk</t>
  </si>
  <si>
    <t>complex_bulk</t>
  </si>
  <si>
    <t>Xc_bulk</t>
  </si>
  <si>
    <t>complex_mlcc</t>
  </si>
  <si>
    <t>J_mlcc</t>
  </si>
  <si>
    <t>Xl_mlcc</t>
  </si>
  <si>
    <t>Xc_mlcc</t>
  </si>
  <si>
    <t xml:space="preserve">den </t>
  </si>
  <si>
    <t>Zeq</t>
  </si>
  <si>
    <t>Z_mag</t>
  </si>
  <si>
    <t>Z_angl (rad)</t>
  </si>
  <si>
    <t>Z_angl (deg)</t>
  </si>
  <si>
    <t>img</t>
  </si>
  <si>
    <t>R_eq</t>
  </si>
  <si>
    <t>C_eq</t>
  </si>
  <si>
    <t xml:space="preserve">Cmlcc: </t>
  </si>
  <si>
    <t>300uf, 500uR, 300pH</t>
  </si>
  <si>
    <t xml:space="preserve">Cbulk: </t>
  </si>
  <si>
    <t>470uf, 6mR, 1nH</t>
  </si>
  <si>
    <r>
      <t>220nH, 300u</t>
    </r>
    <r>
      <rPr>
        <sz val="12"/>
        <rFont val="Symbol"/>
        <family val="1"/>
        <charset val="2"/>
      </rPr>
      <t>W</t>
    </r>
  </si>
  <si>
    <t>10K/3.33K, 10pF, 33K, 220pF, 0R, 220pF</t>
  </si>
  <si>
    <t>89kHz, 66deg</t>
  </si>
  <si>
    <t xml:space="preserve">83kHz, 72deg, </t>
  </si>
  <si>
    <t>500uf, 400uR, 300pH</t>
  </si>
  <si>
    <t>940uf, 5mR, 500pH</t>
  </si>
  <si>
    <t>500uf, 300uR, 100pH</t>
  </si>
  <si>
    <t xml:space="preserve">91kHz, 78deg, </t>
  </si>
  <si>
    <t>10K, 10pF, 47K, 100pF, 0R, 330pF</t>
  </si>
  <si>
    <t>a</t>
  </si>
  <si>
    <t>b</t>
  </si>
  <si>
    <t>c</t>
  </si>
  <si>
    <t>sum</t>
  </si>
  <si>
    <t>Inductor ripple current multiplier</t>
  </si>
  <si>
    <t>Fsw*Np</t>
  </si>
  <si>
    <t>Ceff</t>
  </si>
  <si>
    <t>ESR eff</t>
  </si>
  <si>
    <t>total</t>
  </si>
  <si>
    <t xml:space="preserve">ESL eff </t>
  </si>
  <si>
    <t>efficiency</t>
  </si>
  <si>
    <t>expect column divides ripple budget in 3 equal allocations for C, ESR, and ESL</t>
  </si>
  <si>
    <t>ripple budget</t>
  </si>
  <si>
    <t>across ESL</t>
  </si>
  <si>
    <t>total ripple</t>
  </si>
  <si>
    <t>across C</t>
  </si>
  <si>
    <t>across ESR</t>
  </si>
  <si>
    <t>Output Transient</t>
  </si>
  <si>
    <t>transient budget - less 1/2 ripple</t>
  </si>
  <si>
    <t>transient</t>
  </si>
  <si>
    <t>driver latency</t>
  </si>
  <si>
    <t>inductor current slew time</t>
  </si>
  <si>
    <t>Decreasing load step</t>
  </si>
  <si>
    <t>excess charge</t>
  </si>
  <si>
    <t>slew time, load</t>
  </si>
  <si>
    <t>charge, load</t>
  </si>
  <si>
    <t>charge, inductor</t>
  </si>
  <si>
    <t>min Cout needed</t>
  </si>
  <si>
    <t>Multi-Phase Inductor Current, Output</t>
  </si>
  <si>
    <r>
      <t>expect column uses ESR and ESL from ripple section, removes their</t>
    </r>
    <r>
      <rPr>
        <sz val="11"/>
        <color rgb="FF000000"/>
        <rFont val="Symbol"/>
        <family val="1"/>
        <charset val="2"/>
      </rPr>
      <t xml:space="preserve"> D</t>
    </r>
    <r>
      <rPr>
        <sz val="11"/>
        <color rgb="FF000000"/>
        <rFont val="Times New Roman"/>
        <family val="1"/>
      </rPr>
      <t xml:space="preserve">V from the budget, </t>
    </r>
  </si>
  <si>
    <t>dead time</t>
  </si>
  <si>
    <t>N1</t>
  </si>
  <si>
    <t>N2</t>
  </si>
  <si>
    <t>D</t>
  </si>
  <si>
    <t>new duty</t>
  </si>
  <si>
    <t>new on-time (nsec)</t>
  </si>
  <si>
    <t>flavor dependent - also new DUTY calc to right</t>
  </si>
  <si>
    <t>Revised Inductor Ripple Current</t>
  </si>
  <si>
    <t>applied inductor voltage, on time</t>
  </si>
  <si>
    <t>applied inductor voltage, off time</t>
  </si>
  <si>
    <t>It comes about due to earllier methods to combine Cbulk and Cceramic values being off, particulalry ESR.</t>
  </si>
  <si>
    <t>angle</t>
  </si>
  <si>
    <t>eqn index</t>
  </si>
  <si>
    <t>eqn selector</t>
  </si>
  <si>
    <t>Output Ripple Form/Shape</t>
  </si>
  <si>
    <t>conditions</t>
  </si>
  <si>
    <t>on cycle</t>
  </si>
  <si>
    <t>off cycle</t>
  </si>
  <si>
    <t>RnC</t>
  </si>
  <si>
    <t>Tmin</t>
  </si>
  <si>
    <t>forced off-time</t>
  </si>
  <si>
    <t>max on-time</t>
  </si>
  <si>
    <t>#</t>
  </si>
  <si>
    <t>NA</t>
  </si>
  <si>
    <t>min inductor current slew time</t>
  </si>
  <si>
    <t>multiplier if switching continues</t>
  </si>
  <si>
    <t xml:space="preserve">  then re-calculates if C needs to be larger to make transient spec</t>
  </si>
  <si>
    <t>number over-lapping phases</t>
  </si>
  <si>
    <t>2/3 Vinpp goes to C</t>
  </si>
  <si>
    <t>DC inductor current per phase, input referred</t>
  </si>
  <si>
    <t>peak inductor current per phase, input referred</t>
  </si>
  <si>
    <t>valley inductor current per phase, input referred</t>
  </si>
  <si>
    <t>The ripple spike associated with ESL on the switcing edges is ignored due to lack of actual rise time</t>
  </si>
  <si>
    <t>The ESL contribution is accounted for with regards to on-cycle inductor ripple</t>
  </si>
  <si>
    <t>Ceramic input C</t>
  </si>
  <si>
    <t>Ceramic ESR</t>
  </si>
  <si>
    <t>Ceramic ESL</t>
  </si>
  <si>
    <t>ripple ESL</t>
  </si>
  <si>
    <t>ripple ESR</t>
  </si>
  <si>
    <t>ripple Ccer</t>
  </si>
  <si>
    <t>X</t>
  </si>
  <si>
    <t>ripple, total</t>
  </si>
  <si>
    <t>current factor, single phase</t>
  </si>
  <si>
    <t>current factor, multi-phase</t>
  </si>
  <si>
    <t>multiplier</t>
  </si>
  <si>
    <t>single phase cap</t>
  </si>
  <si>
    <t>Multi-Phase Input Cap Correction factor</t>
  </si>
  <si>
    <r>
      <t>Input Ripple</t>
    </r>
    <r>
      <rPr>
        <sz val="11"/>
        <color rgb="FF000000"/>
        <rFont val="Times New Roman"/>
        <family val="1"/>
      </rPr>
      <t xml:space="preserve"> (only uses ceramic acaps)</t>
    </r>
  </si>
  <si>
    <t>1/3 Vinpp goes to ESR</t>
  </si>
  <si>
    <r>
      <t xml:space="preserve">Input Bulk Cap </t>
    </r>
    <r>
      <rPr>
        <sz val="11"/>
        <color rgb="FF000000"/>
        <rFont val="Times New Roman"/>
        <family val="1"/>
      </rPr>
      <t>(only for transient reservoir, not ripple)</t>
    </r>
  </si>
  <si>
    <t>ripple subtracted from transient budget</t>
  </si>
  <si>
    <r>
      <rPr>
        <sz val="12"/>
        <rFont val="Symbol"/>
        <family val="1"/>
        <charset val="2"/>
      </rPr>
      <t>D</t>
    </r>
    <r>
      <rPr>
        <sz val="12"/>
        <rFont val="Times New Roman"/>
        <family val="1"/>
      </rPr>
      <t>V ESR</t>
    </r>
  </si>
  <si>
    <r>
      <rPr>
        <sz val="12"/>
        <rFont val="Symbol"/>
        <family val="1"/>
        <charset val="2"/>
      </rPr>
      <t>D</t>
    </r>
    <r>
      <rPr>
        <sz val="12"/>
        <rFont val="Times New Roman"/>
        <family val="1"/>
      </rPr>
      <t>V Cbulk</t>
    </r>
  </si>
  <si>
    <r>
      <rPr>
        <sz val="12"/>
        <rFont val="Times New Roman"/>
        <family val="1"/>
      </rPr>
      <t xml:space="preserve">transient </t>
    </r>
    <r>
      <rPr>
        <sz val="12"/>
        <rFont val="Symbol"/>
        <family val="1"/>
        <charset val="2"/>
      </rPr>
      <t>D</t>
    </r>
    <r>
      <rPr>
        <sz val="12"/>
        <rFont val="Times New Roman"/>
        <family val="1"/>
      </rPr>
      <t>I at Vin</t>
    </r>
  </si>
  <si>
    <r>
      <t>m</t>
    </r>
    <r>
      <rPr>
        <sz val="12"/>
        <color rgb="FF000000"/>
        <rFont val="Symbol"/>
        <family val="1"/>
        <charset val="2"/>
      </rPr>
      <t>W</t>
    </r>
  </si>
  <si>
    <t>ESL (20nH minimum enforced)</t>
  </si>
  <si>
    <t xml:space="preserve">  1/3 budget goes to ESR</t>
  </si>
  <si>
    <t xml:space="preserve">  2/3 budget goes to C</t>
  </si>
  <si>
    <r>
      <rPr>
        <sz val="12"/>
        <rFont val="Symbol"/>
        <family val="1"/>
        <charset val="2"/>
      </rPr>
      <t>D</t>
    </r>
    <r>
      <rPr>
        <sz val="12"/>
        <rFont val="Times New Roman"/>
        <family val="1"/>
      </rPr>
      <t xml:space="preserve">Vpk </t>
    </r>
  </si>
  <si>
    <t>Rev. 1</t>
  </si>
  <si>
    <r>
      <t>V</t>
    </r>
    <r>
      <rPr>
        <vertAlign val="subscript"/>
        <sz val="12"/>
        <rFont val="Times New Roman"/>
        <family val="1"/>
      </rPr>
      <t>IN</t>
    </r>
    <r>
      <rPr>
        <sz val="12"/>
        <rFont val="Times New Roman"/>
        <family val="1"/>
      </rPr>
      <t xml:space="preserve"> Transient Overshoot and Undershoot (includes ripple)</t>
    </r>
  </si>
  <si>
    <r>
      <t>Number of parallel MLCC Caps Per-Phase (please enter</t>
    </r>
    <r>
      <rPr>
        <u/>
        <sz val="12"/>
        <rFont val="Times New Roman"/>
        <family val="1"/>
      </rPr>
      <t xml:space="preserve"> &gt;</t>
    </r>
    <r>
      <rPr>
        <sz val="12"/>
        <rFont val="Times New Roman"/>
        <family val="1"/>
      </rPr>
      <t>1)</t>
    </r>
  </si>
  <si>
    <r>
      <rPr>
        <sz val="11"/>
        <rFont val="Symbol"/>
        <family val="1"/>
        <charset val="2"/>
      </rPr>
      <t>D</t>
    </r>
    <r>
      <rPr>
        <sz val="11"/>
        <rFont val="Times New Roman"/>
        <family val="1"/>
      </rPr>
      <t>I_Lpp (A)</t>
    </r>
  </si>
  <si>
    <t>Minimum Effective Total Filter Capacitance</t>
  </si>
  <si>
    <t>Maximum Effective Total Filter ESR</t>
  </si>
  <si>
    <t>Maximum Effective Total Filter ESL</t>
  </si>
  <si>
    <r>
      <t xml:space="preserve">Total Number of Parallel MLCC Caps (enter </t>
    </r>
    <r>
      <rPr>
        <u/>
        <sz val="12"/>
        <rFont val="Times New Roman"/>
        <family val="1"/>
      </rPr>
      <t>&gt;</t>
    </r>
    <r>
      <rPr>
        <sz val="12"/>
        <rFont val="Times New Roman"/>
        <family val="1"/>
      </rPr>
      <t>1)</t>
    </r>
  </si>
  <si>
    <t>Minimum Capacitance of Single SP/Bulk Cap (enter 0 if not used)</t>
  </si>
  <si>
    <t>Output Transient Voltage Under/Overshoot including ripple (approximation)</t>
  </si>
  <si>
    <t>Please refer to Simplis tool for more refined results.</t>
  </si>
  <si>
    <t>mVpk</t>
  </si>
  <si>
    <t>Input Transient Voltage</t>
  </si>
  <si>
    <t xml:space="preserve">   Disclaimer</t>
  </si>
  <si>
    <t xml:space="preserve">   This spreadsheet is a general tool being provided to assist power system designers. 
</t>
  </si>
  <si>
    <t xml:space="preserve">   The output of this tool is to be used as a guideline and does not provide/ensure any measure of the success of a particular system design.</t>
  </si>
  <si>
    <t xml:space="preserve">   Copyright © 2022, Semiconductor Component Industries, LLC.</t>
  </si>
  <si>
    <r>
      <t>V</t>
    </r>
    <r>
      <rPr>
        <vertAlign val="subscript"/>
        <sz val="12"/>
        <color rgb="FF000000"/>
        <rFont val="Times New Roman"/>
        <family val="1"/>
        <charset val="1"/>
      </rPr>
      <t>OUT</t>
    </r>
    <r>
      <rPr>
        <sz val="12"/>
        <color rgb="FF000000"/>
        <rFont val="Times New Roman"/>
        <family val="1"/>
        <charset val="1"/>
      </rPr>
      <t xml:space="preserve"> Transient Specification (includes ripple) </t>
    </r>
  </si>
  <si>
    <t>Maximum Output Current</t>
  </si>
  <si>
    <t>Maximum Load Step Current</t>
  </si>
  <si>
    <r>
      <t>150nH, 300u</t>
    </r>
    <r>
      <rPr>
        <sz val="12"/>
        <rFont val="Symbol"/>
        <family val="1"/>
        <charset val="2"/>
      </rPr>
      <t>W</t>
    </r>
  </si>
  <si>
    <r>
      <t>1000nH, 500u</t>
    </r>
    <r>
      <rPr>
        <sz val="12"/>
        <rFont val="Symbol"/>
        <family val="1"/>
        <charset val="2"/>
      </rPr>
      <t>W</t>
    </r>
  </si>
  <si>
    <r>
      <t>100nH, 300u</t>
    </r>
    <r>
      <rPr>
        <sz val="12"/>
        <rFont val="Symbol"/>
        <family val="1"/>
        <charset val="2"/>
      </rPr>
      <t>W</t>
    </r>
  </si>
  <si>
    <t>1000uf, 150uR, 50pH</t>
  </si>
  <si>
    <t>none</t>
  </si>
  <si>
    <t>10K, 10pF, 39K, 82pF, 200R, 300pF</t>
  </si>
  <si>
    <t>10K, 10pF, 33K, 4470pF, 0R, 1500pF</t>
  </si>
  <si>
    <t>10K, 10pF, 56K, 68pF, 0R, 300pF</t>
  </si>
  <si>
    <t>1.2Vout, 30A, 1ph, 800kHz   PLANT</t>
  </si>
  <si>
    <t>5.0Vout, 30A, 1ph, 400kHz   PLANT</t>
  </si>
  <si>
    <t>0.8Vout, 30A, 1ph, 1,000kHz   PLANT</t>
  </si>
  <si>
    <t>110kHz, 74deg</t>
  </si>
  <si>
    <t>110kHz, 81deg</t>
  </si>
  <si>
    <t>80kHz, 70deg</t>
  </si>
  <si>
    <t xml:space="preserve">76kHz, 76deg, </t>
  </si>
  <si>
    <t>159kHz, 61deg</t>
  </si>
  <si>
    <t>129kHz, 64deg</t>
  </si>
  <si>
    <t xml:space="preserve">132kHz, 75deg,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</si>
</sst>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_ "/>
    <numFmt numFmtId="165" formatCode="0.0_ "/>
    <numFmt numFmtId="166" formatCode="0.000"/>
    <numFmt numFmtId="167" formatCode="0.0"/>
    <numFmt numFmtId="168" formatCode="0.0000"/>
    <numFmt numFmtId="169" formatCode="0.000E+00"/>
    <numFmt numFmtId="170" formatCode="0.0000E+00"/>
  </numFmts>
  <fonts count="103">
    <font>
      <sz val="11"/>
      <color rgb="FF000000"/>
      <name val="文泉驿点阵正黑"/>
      <family val="2"/>
      <charset val="1"/>
    </font>
    <font>
      <sz val="12"/>
      <color rgb="FF000000"/>
      <name val="文泉驿点阵正黑"/>
      <family val="2"/>
      <charset val="1"/>
    </font>
    <font>
      <b/>
      <sz val="18"/>
      <color rgb="FFFFFF00"/>
      <name val="Times New Roman"/>
      <family val="1"/>
      <charset val="1"/>
    </font>
    <font>
      <b/>
      <sz val="18"/>
      <color rgb="FFFFFFFF"/>
      <name val="Times New Roman"/>
      <family val="1"/>
      <charset val="1"/>
    </font>
    <font>
      <sz val="11"/>
      <color rgb="FF3F3F76"/>
      <name val="等线"/>
      <family val="2"/>
      <charset val="1"/>
    </font>
    <font>
      <sz val="12"/>
      <color rgb="FF3F3F76"/>
      <name val="文泉驿点阵正黑"/>
      <family val="2"/>
      <charset val="1"/>
    </font>
    <font>
      <sz val="12"/>
      <color rgb="FF000000"/>
      <name val="Times New Roman"/>
      <family val="1"/>
      <charset val="1"/>
    </font>
    <font>
      <b/>
      <sz val="14"/>
      <color rgb="FFFFFFFF"/>
      <name val="Times New Roman"/>
      <family val="1"/>
      <charset val="1"/>
    </font>
    <font>
      <b/>
      <sz val="12"/>
      <color rgb="FF000000"/>
      <name val="Times New Roman"/>
      <family val="1"/>
      <charset val="1"/>
    </font>
    <font>
      <b/>
      <vertAlign val="subscript"/>
      <sz val="12"/>
      <color rgb="FF000000"/>
      <name val="Times New Roman"/>
      <family val="1"/>
      <charset val="1"/>
    </font>
    <font>
      <sz val="12"/>
      <color rgb="FF000000"/>
      <name val="Calibri"/>
      <family val="2"/>
      <charset val="1"/>
    </font>
    <font>
      <vertAlign val="subscript"/>
      <sz val="12"/>
      <color rgb="FF000000"/>
      <name val="Times New Roman"/>
      <family val="1"/>
      <charset val="1"/>
    </font>
    <font>
      <sz val="12"/>
      <name val="Times New Roman"/>
      <family val="1"/>
      <charset val="1"/>
    </font>
    <font>
      <b/>
      <sz val="12"/>
      <color rgb="FF000000"/>
      <name val="Times New Roman"/>
      <family val="1"/>
    </font>
    <font>
      <b/>
      <vertAlign val="subscript"/>
      <sz val="12"/>
      <color rgb="FF000000"/>
      <name val="Times New Roman"/>
      <family val="1"/>
    </font>
    <font>
      <b/>
      <sz val="12"/>
      <color rgb="FFFFFFFF"/>
      <name val="Times New Roman"/>
      <family val="1"/>
      <charset val="1"/>
    </font>
    <font>
      <b/>
      <sz val="9"/>
      <color rgb="FF000000"/>
      <name val="Symbol"/>
      <family val="1"/>
      <charset val="2"/>
    </font>
    <font>
      <sz val="9"/>
      <color rgb="FF000000"/>
      <name val="Times New Roman"/>
      <family val="1"/>
      <charset val="1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2"/>
      <color indexed="8"/>
      <name val="Times New Roman"/>
      <family val="1"/>
    </font>
    <font>
      <sz val="12"/>
      <color indexed="8"/>
      <name val="Times New Roman"/>
      <family val="1"/>
    </font>
    <font>
      <sz val="12"/>
      <name val="Times New Roman"/>
      <family val="1"/>
    </font>
    <font>
      <b/>
      <sz val="12"/>
      <color theme="1"/>
      <name val="Times New Roman"/>
      <family val="1"/>
    </font>
    <font>
      <b/>
      <vertAlign val="subscript"/>
      <sz val="12"/>
      <color theme="1"/>
      <name val="Times New Roman"/>
      <family val="1"/>
    </font>
    <font>
      <b/>
      <sz val="12"/>
      <color rgb="FFFFFFFF"/>
      <name val="Times New Roman"/>
      <family val="1"/>
    </font>
    <font>
      <sz val="12"/>
      <color rgb="FF000000"/>
      <name val="Times New Roman"/>
      <family val="1"/>
    </font>
    <font>
      <sz val="12"/>
      <color rgb="FF000000"/>
      <name val="Calibri"/>
      <family val="2"/>
    </font>
    <font>
      <vertAlign val="subscript"/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8"/>
      <color indexed="9"/>
      <name val="Times New Roman"/>
      <family val="1"/>
    </font>
    <font>
      <sz val="12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Calibri"/>
      <family val="2"/>
      <scheme val="minor"/>
    </font>
    <font>
      <b/>
      <vertAlign val="subscript"/>
      <sz val="12"/>
      <name val="Times New Roman"/>
      <family val="1"/>
    </font>
    <font>
      <b/>
      <sz val="9"/>
      <color indexed="81"/>
      <name val="Tahoma"/>
      <family val="2"/>
    </font>
    <font>
      <sz val="11"/>
      <name val="文泉驿点阵正黑"/>
      <family val="2"/>
      <charset val="1"/>
    </font>
    <font>
      <sz val="11"/>
      <color rgb="FF0000FF"/>
      <name val="文泉驿点阵正黑"/>
      <family val="2"/>
      <charset val="1"/>
    </font>
    <font>
      <sz val="12"/>
      <color rgb="FF0000FF"/>
      <name val="Times New Roman"/>
      <family val="1"/>
    </font>
    <font>
      <sz val="12"/>
      <color rgb="FF7030A0"/>
      <name val="Times New Roman"/>
      <family val="1"/>
    </font>
    <font>
      <b/>
      <sz val="12"/>
      <color rgb="FF0000FF"/>
      <name val="Times New Roman"/>
      <family val="1"/>
    </font>
    <font>
      <sz val="12"/>
      <color rgb="FFFF0000"/>
      <name val="Times New Roman"/>
      <family val="1"/>
    </font>
    <font>
      <sz val="12"/>
      <color theme="4"/>
      <name val="Times New Roman"/>
      <family val="1"/>
    </font>
    <font>
      <b/>
      <sz val="9"/>
      <color rgb="FF000000"/>
      <name val="Times New Roman"/>
      <family val="1"/>
    </font>
    <font>
      <b/>
      <vertAlign val="subscript"/>
      <sz val="9"/>
      <color rgb="FF000000"/>
      <name val="Times New Roman"/>
      <family val="1"/>
    </font>
    <font>
      <sz val="9"/>
      <color rgb="FF000000"/>
      <name val="Times New Roman"/>
      <family val="1"/>
    </font>
    <font>
      <sz val="11"/>
      <color rgb="FF000000"/>
      <name val="微软雅黑"/>
      <family val="2"/>
      <charset val="134"/>
    </font>
    <font>
      <b/>
      <sz val="12"/>
      <color rgb="FFFF0000"/>
      <name val="Times New Roman"/>
      <family val="1"/>
    </font>
    <font>
      <b/>
      <sz val="18"/>
      <color theme="0"/>
      <name val="Times New Roman"/>
      <family val="1"/>
    </font>
    <font>
      <b/>
      <vertAlign val="subscript"/>
      <sz val="12"/>
      <color theme="1"/>
      <name val="微软雅黑"/>
      <family val="1"/>
      <charset val="134"/>
    </font>
    <font>
      <vertAlign val="subscript"/>
      <sz val="12"/>
      <color theme="1"/>
      <name val="Times New Roman"/>
      <family val="1"/>
    </font>
    <font>
      <sz val="12"/>
      <color rgb="FF00B050"/>
      <name val="Times New Roman"/>
      <family val="1"/>
    </font>
    <font>
      <b/>
      <sz val="12"/>
      <color rgb="FF7030A0"/>
      <name val="Times New Roman"/>
      <family val="1"/>
    </font>
    <font>
      <sz val="11"/>
      <color theme="5"/>
      <name val="文泉驿点阵正黑"/>
      <family val="2"/>
      <charset val="1"/>
    </font>
    <font>
      <sz val="12"/>
      <color theme="5"/>
      <name val="Times New Roman"/>
      <family val="1"/>
    </font>
    <font>
      <sz val="12"/>
      <color theme="9"/>
      <name val="Times New Roman"/>
      <family val="1"/>
    </font>
    <font>
      <b/>
      <sz val="11"/>
      <color rgb="FF000000"/>
      <name val="文泉驿点阵正黑"/>
    </font>
    <font>
      <b/>
      <sz val="11"/>
      <color rgb="FFFF0000"/>
      <name val="文泉驿点阵正黑"/>
    </font>
    <font>
      <b/>
      <sz val="11"/>
      <color rgb="FF000000"/>
      <name val="文泉驿点阵正黑"/>
      <family val="2"/>
      <charset val="1"/>
    </font>
    <font>
      <sz val="12"/>
      <color rgb="FF000000"/>
      <name val="Symbol"/>
      <family val="1"/>
      <charset val="2"/>
    </font>
    <font>
      <sz val="12"/>
      <name val="Symbol"/>
      <family val="1"/>
      <charset val="2"/>
    </font>
    <font>
      <sz val="11"/>
      <color rgb="FF00B050"/>
      <name val="文泉驿点阵正黑"/>
      <family val="2"/>
      <charset val="1"/>
    </font>
    <font>
      <sz val="11"/>
      <color rgb="FF7030A0"/>
      <name val="文泉驿点阵正黑"/>
      <family val="2"/>
      <charset val="1"/>
    </font>
    <font>
      <b/>
      <sz val="11"/>
      <color rgb="FF7030A0"/>
      <name val="文泉驿点阵正黑"/>
    </font>
    <font>
      <b/>
      <sz val="12"/>
      <color rgb="FF000000"/>
      <name val="文泉驿点阵正黑"/>
    </font>
    <font>
      <b/>
      <sz val="12"/>
      <color theme="4"/>
      <name val="Times New Roman"/>
      <family val="1"/>
    </font>
    <font>
      <b/>
      <sz val="12"/>
      <color rgb="FF00B050"/>
      <name val="Times New Roman"/>
      <family val="1"/>
    </font>
    <font>
      <b/>
      <sz val="12"/>
      <color theme="5"/>
      <name val="Times New Roman"/>
      <family val="1"/>
    </font>
    <font>
      <b/>
      <sz val="12"/>
      <color theme="5"/>
      <name val="文泉驿点阵正黑"/>
    </font>
    <font>
      <sz val="12"/>
      <color theme="5"/>
      <name val="文泉驿点阵正黑"/>
      <family val="2"/>
      <charset val="1"/>
    </font>
    <font>
      <b/>
      <u/>
      <sz val="9"/>
      <color indexed="81"/>
      <name val="Tahoma"/>
      <family val="2"/>
    </font>
    <font>
      <sz val="12"/>
      <color theme="0"/>
      <name val="Times New Roman"/>
      <family val="1"/>
    </font>
    <font>
      <sz val="11"/>
      <color theme="4"/>
      <name val="Arial"/>
      <family val="2"/>
    </font>
    <font>
      <sz val="9"/>
      <color theme="5"/>
      <name val="Times New Roman"/>
      <family val="1"/>
    </font>
    <font>
      <sz val="11"/>
      <color theme="9"/>
      <name val="文泉驿点阵正黑"/>
    </font>
    <font>
      <sz val="11"/>
      <color rgb="FFFF0000"/>
      <name val="文泉驿点阵正黑"/>
      <family val="2"/>
      <charset val="1"/>
    </font>
    <font>
      <b/>
      <sz val="12"/>
      <color rgb="FFCC00CC"/>
      <name val="Times New Roman"/>
      <family val="1"/>
    </font>
    <font>
      <sz val="12"/>
      <color rgb="FF00CC00"/>
      <name val="Times New Roman"/>
      <family val="1"/>
    </font>
    <font>
      <sz val="11"/>
      <color rgb="FF00CC00"/>
      <name val="文泉驿点阵正黑"/>
      <family val="2"/>
      <charset val="1"/>
    </font>
    <font>
      <sz val="11"/>
      <color theme="4"/>
      <name val="文泉驿点阵正黑"/>
      <family val="2"/>
      <charset val="1"/>
    </font>
    <font>
      <b/>
      <sz val="11"/>
      <color rgb="FF00B050"/>
      <name val="文泉驿点阵正黑"/>
    </font>
    <font>
      <b/>
      <sz val="11"/>
      <color theme="9" tint="-0.249977111117893"/>
      <name val="文泉驿点阵正黑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name val="Times New Roman"/>
      <family val="1"/>
    </font>
    <font>
      <sz val="11"/>
      <color theme="4"/>
      <name val="Times New Roman"/>
      <family val="1"/>
    </font>
    <font>
      <sz val="8"/>
      <color theme="4"/>
      <name val="Times New Roman"/>
      <family val="1"/>
    </font>
    <font>
      <sz val="9"/>
      <color indexed="81"/>
      <name val="Tahoma"/>
      <family val="2"/>
    </font>
    <font>
      <sz val="11"/>
      <color rgb="FF7030A0"/>
      <name val="Times New Roman"/>
      <family val="1"/>
    </font>
    <font>
      <sz val="11"/>
      <color rgb="FF000000"/>
      <name val="Symbol"/>
      <family val="1"/>
      <charset val="2"/>
    </font>
    <font>
      <sz val="11"/>
      <color rgb="FF00B050"/>
      <name val="Times New Roman"/>
      <family val="1"/>
    </font>
    <font>
      <b/>
      <sz val="11"/>
      <color rgb="FFFF0000"/>
      <name val="Times New Roman"/>
      <family val="1"/>
    </font>
    <font>
      <sz val="11"/>
      <color theme="0" tint="-0.34998626667073579"/>
      <name val="Times New Roman"/>
      <family val="1"/>
    </font>
    <font>
      <sz val="11"/>
      <color theme="0" tint="-0.34998626667073579"/>
      <name val="文泉驿点阵正黑"/>
      <family val="2"/>
      <charset val="1"/>
    </font>
    <font>
      <sz val="12"/>
      <color theme="0" tint="-0.34998626667073579"/>
      <name val="Times New Roman"/>
      <family val="1"/>
    </font>
    <font>
      <sz val="12"/>
      <color theme="0" tint="-0.249977111117893"/>
      <name val="Times New Roman"/>
      <family val="1"/>
    </font>
    <font>
      <sz val="12"/>
      <name val="Times New Roman"/>
      <family val="1"/>
      <charset val="2"/>
    </font>
    <font>
      <sz val="11"/>
      <color theme="5"/>
      <name val="Times New Roman"/>
      <family val="1"/>
    </font>
    <font>
      <vertAlign val="subscript"/>
      <sz val="12"/>
      <name val="Times New Roman"/>
      <family val="1"/>
    </font>
    <font>
      <u/>
      <sz val="12"/>
      <name val="Times New Roman"/>
      <family val="1"/>
    </font>
    <font>
      <sz val="11"/>
      <name val="Times New Roman"/>
      <family val="1"/>
      <charset val="2"/>
    </font>
    <font>
      <sz val="11"/>
      <name val="Symbol"/>
      <family val="1"/>
      <charset val="2"/>
    </font>
    <font>
      <b/>
      <sz val="11"/>
      <name val="文泉驿点阵正黑"/>
      <family val="2"/>
      <charset val="1"/>
    </font>
  </fonts>
  <fills count="18">
    <fill>
      <patternFill patternType="none"/>
    </fill>
    <fill>
      <patternFill patternType="gray125"/>
    </fill>
    <fill>
      <patternFill patternType="solid">
        <fgColor rgb="FFFFCC99"/>
        <bgColor rgb="FFC0C0C0"/>
      </patternFill>
    </fill>
    <fill>
      <patternFill patternType="solid">
        <fgColor rgb="FF0000FF"/>
        <bgColor rgb="FF0000FF"/>
      </patternFill>
    </fill>
    <fill>
      <patternFill patternType="solid">
        <fgColor rgb="FFFFFF00"/>
        <bgColor rgb="FFFFFF00"/>
      </patternFill>
    </fill>
    <fill>
      <patternFill patternType="solid">
        <fgColor rgb="FF00FFFF"/>
        <bgColor rgb="FF00FFFF"/>
      </patternFill>
    </fill>
    <fill>
      <patternFill patternType="solid">
        <fgColor rgb="FFFF0000"/>
        <bgColor rgb="FF993300"/>
      </patternFill>
    </fill>
    <fill>
      <patternFill patternType="solid">
        <fgColor rgb="FF008080"/>
        <bgColor rgb="FF008080"/>
      </patternFill>
    </fill>
    <fill>
      <patternFill patternType="solid">
        <fgColor rgb="FFFFFFFF"/>
        <bgColor rgb="FFF2F2F2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FFFF"/>
      </patternFill>
    </fill>
    <fill>
      <patternFill patternType="solid">
        <fgColor rgb="FFF2F2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ECFF"/>
        <bgColor indexed="64"/>
      </patternFill>
    </fill>
  </fills>
  <borders count="3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4" fillId="2" borderId="1" applyProtection="0"/>
    <xf numFmtId="0" fontId="19" fillId="0" borderId="0"/>
  </cellStyleXfs>
  <cellXfs count="448">
    <xf numFmtId="0" fontId="0" fillId="0" borderId="0" xfId="0"/>
    <xf numFmtId="0" fontId="1" fillId="0" borderId="0" xfId="0" applyFont="1"/>
    <xf numFmtId="0" fontId="5" fillId="4" borderId="0" xfId="1" applyFont="1" applyFill="1" applyBorder="1" applyAlignment="1" applyProtection="1">
      <alignment horizontal="center"/>
      <protection locked="0"/>
    </xf>
    <xf numFmtId="0" fontId="1" fillId="5" borderId="0" xfId="0" applyFont="1" applyFill="1" applyAlignment="1" applyProtection="1">
      <alignment horizontal="center"/>
      <protection locked="0"/>
    </xf>
    <xf numFmtId="164" fontId="1" fillId="6" borderId="0" xfId="0" applyNumberFormat="1" applyFont="1" applyFill="1" applyAlignment="1" applyProtection="1">
      <alignment horizontal="center"/>
      <protection hidden="1"/>
    </xf>
    <xf numFmtId="0" fontId="8" fillId="8" borderId="4" xfId="0" applyFont="1" applyFill="1" applyBorder="1" applyAlignment="1" applyProtection="1">
      <alignment horizontal="center"/>
      <protection hidden="1"/>
    </xf>
    <xf numFmtId="0" fontId="6" fillId="8" borderId="4" xfId="0" applyFont="1" applyFill="1" applyBorder="1" applyAlignment="1" applyProtection="1">
      <alignment horizontal="center"/>
      <protection hidden="1"/>
    </xf>
    <xf numFmtId="0" fontId="12" fillId="8" borderId="4" xfId="0" applyFont="1" applyFill="1" applyBorder="1" applyAlignment="1" applyProtection="1">
      <alignment horizontal="center" vertical="center"/>
      <protection hidden="1"/>
    </xf>
    <xf numFmtId="0" fontId="13" fillId="8" borderId="4" xfId="0" applyFont="1" applyFill="1" applyBorder="1" applyAlignment="1" applyProtection="1">
      <alignment horizontal="center"/>
      <protection hidden="1"/>
    </xf>
    <xf numFmtId="0" fontId="17" fillId="0" borderId="9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8" fillId="8" borderId="4" xfId="0" applyFont="1" applyFill="1" applyBorder="1" applyAlignment="1" applyProtection="1">
      <alignment horizontal="center" vertical="center"/>
      <protection hidden="1"/>
    </xf>
    <xf numFmtId="0" fontId="8" fillId="0" borderId="0" xfId="0" applyFont="1" applyAlignment="1">
      <alignment horizontal="center"/>
    </xf>
    <xf numFmtId="0" fontId="17" fillId="0" borderId="13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 wrapText="1"/>
    </xf>
    <xf numFmtId="0" fontId="20" fillId="9" borderId="0" xfId="2" applyFont="1" applyFill="1" applyAlignment="1" applyProtection="1">
      <alignment horizontal="center"/>
      <protection hidden="1"/>
    </xf>
    <xf numFmtId="165" fontId="21" fillId="9" borderId="0" xfId="2" applyNumberFormat="1" applyFont="1" applyFill="1" applyAlignment="1" applyProtection="1">
      <alignment horizontal="center"/>
      <protection hidden="1"/>
    </xf>
    <xf numFmtId="0" fontId="23" fillId="10" borderId="4" xfId="2" applyFont="1" applyFill="1" applyBorder="1" applyAlignment="1" applyProtection="1">
      <alignment horizontal="center"/>
      <protection hidden="1"/>
    </xf>
    <xf numFmtId="0" fontId="23" fillId="10" borderId="4" xfId="0" applyFont="1" applyFill="1" applyBorder="1" applyAlignment="1" applyProtection="1">
      <alignment horizontal="center" vertical="center"/>
      <protection hidden="1"/>
    </xf>
    <xf numFmtId="0" fontId="23" fillId="10" borderId="4" xfId="0" applyFont="1" applyFill="1" applyBorder="1" applyAlignment="1" applyProtection="1">
      <alignment horizontal="center"/>
      <protection hidden="1"/>
    </xf>
    <xf numFmtId="0" fontId="26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49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2" fontId="26" fillId="11" borderId="0" xfId="0" applyNumberFormat="1" applyFont="1" applyFill="1" applyAlignment="1">
      <alignment horizontal="center" vertical="center"/>
    </xf>
    <xf numFmtId="0" fontId="26" fillId="12" borderId="0" xfId="0" applyFont="1" applyFill="1" applyAlignment="1">
      <alignment horizontal="center"/>
    </xf>
    <xf numFmtId="0" fontId="26" fillId="12" borderId="0" xfId="0" applyFont="1" applyFill="1" applyAlignment="1">
      <alignment horizontal="center" vertical="center"/>
    </xf>
    <xf numFmtId="2" fontId="29" fillId="12" borderId="4" xfId="0" applyNumberFormat="1" applyFont="1" applyFill="1" applyBorder="1" applyAlignment="1" applyProtection="1">
      <alignment horizontal="center"/>
      <protection hidden="1"/>
    </xf>
    <xf numFmtId="0" fontId="29" fillId="10" borderId="4" xfId="0" applyFont="1" applyFill="1" applyBorder="1" applyAlignment="1" applyProtection="1">
      <alignment horizontal="center"/>
      <protection hidden="1"/>
    </xf>
    <xf numFmtId="2" fontId="26" fillId="0" borderId="0" xfId="0" applyNumberFormat="1" applyFont="1" applyAlignment="1">
      <alignment horizontal="center"/>
    </xf>
    <xf numFmtId="0" fontId="22" fillId="10" borderId="0" xfId="2" applyFont="1" applyFill="1" applyProtection="1">
      <protection hidden="1"/>
    </xf>
    <xf numFmtId="0" fontId="31" fillId="10" borderId="0" xfId="0" applyFont="1" applyFill="1" applyProtection="1">
      <protection hidden="1"/>
    </xf>
    <xf numFmtId="0" fontId="22" fillId="10" borderId="0" xfId="2" applyFont="1" applyFill="1" applyAlignment="1" applyProtection="1">
      <alignment vertical="center"/>
      <protection hidden="1"/>
    </xf>
    <xf numFmtId="0" fontId="22" fillId="10" borderId="0" xfId="2" applyFont="1" applyFill="1" applyAlignment="1" applyProtection="1">
      <alignment horizontal="center" vertical="center"/>
      <protection hidden="1"/>
    </xf>
    <xf numFmtId="0" fontId="23" fillId="10" borderId="7" xfId="2" applyFont="1" applyFill="1" applyBorder="1" applyAlignment="1" applyProtection="1">
      <alignment horizontal="center"/>
      <protection hidden="1"/>
    </xf>
    <xf numFmtId="0" fontId="29" fillId="10" borderId="0" xfId="2" applyFont="1" applyFill="1" applyProtection="1">
      <protection hidden="1"/>
    </xf>
    <xf numFmtId="0" fontId="29" fillId="10" borderId="0" xfId="2" applyFont="1" applyFill="1" applyAlignment="1" applyProtection="1">
      <alignment horizontal="center" vertical="center"/>
      <protection hidden="1"/>
    </xf>
    <xf numFmtId="0" fontId="29" fillId="10" borderId="0" xfId="2" applyFont="1" applyFill="1" applyAlignment="1" applyProtection="1">
      <alignment horizontal="center"/>
      <protection hidden="1"/>
    </xf>
    <xf numFmtId="0" fontId="29" fillId="10" borderId="10" xfId="2" applyFont="1" applyFill="1" applyBorder="1" applyProtection="1">
      <protection hidden="1"/>
    </xf>
    <xf numFmtId="0" fontId="29" fillId="10" borderId="4" xfId="2" applyFont="1" applyFill="1" applyBorder="1" applyAlignment="1" applyProtection="1">
      <alignment horizontal="center" vertical="center"/>
      <protection hidden="1"/>
    </xf>
    <xf numFmtId="0" fontId="29" fillId="10" borderId="0" xfId="2" applyFont="1" applyFill="1" applyAlignment="1" applyProtection="1">
      <alignment vertical="center"/>
      <protection hidden="1"/>
    </xf>
    <xf numFmtId="0" fontId="32" fillId="10" borderId="7" xfId="2" applyFont="1" applyFill="1" applyBorder="1" applyAlignment="1" applyProtection="1">
      <alignment horizontal="center"/>
      <protection hidden="1"/>
    </xf>
    <xf numFmtId="0" fontId="22" fillId="10" borderId="0" xfId="2" applyFont="1" applyFill="1" applyAlignment="1" applyProtection="1">
      <alignment horizontal="center"/>
      <protection hidden="1"/>
    </xf>
    <xf numFmtId="0" fontId="22" fillId="10" borderId="10" xfId="2" applyFont="1" applyFill="1" applyBorder="1" applyProtection="1">
      <protection hidden="1"/>
    </xf>
    <xf numFmtId="0" fontId="33" fillId="10" borderId="0" xfId="0" applyFont="1" applyFill="1" applyProtection="1">
      <protection hidden="1"/>
    </xf>
    <xf numFmtId="0" fontId="32" fillId="10" borderId="4" xfId="2" applyFont="1" applyFill="1" applyBorder="1" applyAlignment="1" applyProtection="1">
      <alignment horizontal="center"/>
      <protection hidden="1"/>
    </xf>
    <xf numFmtId="164" fontId="22" fillId="10" borderId="4" xfId="2" applyNumberFormat="1" applyFont="1" applyFill="1" applyBorder="1" applyAlignment="1" applyProtection="1">
      <alignment horizontal="center"/>
      <protection hidden="1"/>
    </xf>
    <xf numFmtId="0" fontId="22" fillId="10" borderId="4" xfId="2" applyFont="1" applyFill="1" applyBorder="1" applyAlignment="1" applyProtection="1">
      <alignment horizontal="center"/>
      <protection hidden="1"/>
    </xf>
    <xf numFmtId="164" fontId="22" fillId="10" borderId="0" xfId="2" applyNumberFormat="1" applyFont="1" applyFill="1" applyProtection="1">
      <protection hidden="1"/>
    </xf>
    <xf numFmtId="0" fontId="22" fillId="10" borderId="4" xfId="0" applyFont="1" applyFill="1" applyBorder="1" applyAlignment="1" applyProtection="1">
      <alignment horizontal="center" vertical="center"/>
      <protection hidden="1"/>
    </xf>
    <xf numFmtId="0" fontId="29" fillId="10" borderId="23" xfId="2" applyFont="1" applyFill="1" applyBorder="1" applyAlignment="1" applyProtection="1">
      <alignment horizontal="center" vertical="center"/>
      <protection hidden="1"/>
    </xf>
    <xf numFmtId="0" fontId="26" fillId="0" borderId="0" xfId="0" applyFont="1"/>
    <xf numFmtId="0" fontId="1" fillId="10" borderId="4" xfId="0" applyFont="1" applyFill="1" applyBorder="1" applyAlignment="1">
      <alignment horizontal="center"/>
    </xf>
    <xf numFmtId="0" fontId="20" fillId="10" borderId="7" xfId="2" applyFont="1" applyFill="1" applyBorder="1" applyAlignment="1" applyProtection="1">
      <alignment horizontal="center"/>
      <protection hidden="1"/>
    </xf>
    <xf numFmtId="0" fontId="21" fillId="10" borderId="0" xfId="2" applyFont="1" applyFill="1" applyProtection="1">
      <protection hidden="1"/>
    </xf>
    <xf numFmtId="0" fontId="21" fillId="10" borderId="0" xfId="2" applyFont="1" applyFill="1" applyAlignment="1" applyProtection="1">
      <alignment horizontal="center" vertical="center"/>
      <protection hidden="1"/>
    </xf>
    <xf numFmtId="0" fontId="21" fillId="10" borderId="0" xfId="2" applyFont="1" applyFill="1" applyAlignment="1" applyProtection="1">
      <alignment horizontal="center"/>
      <protection hidden="1"/>
    </xf>
    <xf numFmtId="0" fontId="21" fillId="10" borderId="10" xfId="2" applyFont="1" applyFill="1" applyBorder="1" applyProtection="1">
      <protection hidden="1"/>
    </xf>
    <xf numFmtId="0" fontId="20" fillId="10" borderId="0" xfId="2" applyFont="1" applyFill="1" applyAlignment="1" applyProtection="1">
      <alignment horizontal="center"/>
      <protection hidden="1"/>
    </xf>
    <xf numFmtId="0" fontId="20" fillId="10" borderId="10" xfId="2" applyFont="1" applyFill="1" applyBorder="1" applyAlignment="1" applyProtection="1">
      <alignment horizontal="center"/>
      <protection hidden="1"/>
    </xf>
    <xf numFmtId="0" fontId="22" fillId="10" borderId="27" xfId="2" applyFont="1" applyFill="1" applyBorder="1" applyProtection="1">
      <protection hidden="1"/>
    </xf>
    <xf numFmtId="0" fontId="32" fillId="10" borderId="25" xfId="0" applyFont="1" applyFill="1" applyBorder="1" applyAlignment="1" applyProtection="1">
      <alignment horizontal="center" vertical="center"/>
      <protection hidden="1"/>
    </xf>
    <xf numFmtId="0" fontId="32" fillId="10" borderId="4" xfId="0" applyFont="1" applyFill="1" applyBorder="1" applyAlignment="1" applyProtection="1">
      <alignment horizontal="center" vertical="center"/>
      <protection hidden="1"/>
    </xf>
    <xf numFmtId="0" fontId="32" fillId="10" borderId="5" xfId="2" applyFont="1" applyFill="1" applyBorder="1" applyAlignment="1" applyProtection="1">
      <alignment horizontal="center"/>
      <protection hidden="1"/>
    </xf>
    <xf numFmtId="0" fontId="32" fillId="10" borderId="0" xfId="2" applyFont="1" applyFill="1" applyAlignment="1" applyProtection="1">
      <alignment horizontal="center"/>
      <protection hidden="1"/>
    </xf>
    <xf numFmtId="0" fontId="32" fillId="10" borderId="25" xfId="2" applyFont="1" applyFill="1" applyBorder="1" applyAlignment="1" applyProtection="1">
      <alignment horizontal="center"/>
      <protection hidden="1"/>
    </xf>
    <xf numFmtId="0" fontId="36" fillId="10" borderId="0" xfId="0" applyFont="1" applyFill="1" applyProtection="1">
      <protection hidden="1"/>
    </xf>
    <xf numFmtId="0" fontId="13" fillId="0" borderId="0" xfId="0" applyFont="1" applyAlignment="1">
      <alignment horizontal="center"/>
    </xf>
    <xf numFmtId="0" fontId="29" fillId="0" borderId="0" xfId="0" applyFont="1"/>
    <xf numFmtId="166" fontId="22" fillId="12" borderId="4" xfId="2" applyNumberFormat="1" applyFont="1" applyFill="1" applyBorder="1" applyAlignment="1" applyProtection="1">
      <alignment horizontal="center"/>
      <protection hidden="1"/>
    </xf>
    <xf numFmtId="0" fontId="37" fillId="0" borderId="0" xfId="0" applyFont="1"/>
    <xf numFmtId="0" fontId="38" fillId="0" borderId="0" xfId="0" applyFont="1" applyAlignment="1">
      <alignment horizontal="left"/>
    </xf>
    <xf numFmtId="0" fontId="39" fillId="0" borderId="0" xfId="0" applyFont="1" applyAlignment="1">
      <alignment horizontal="center"/>
    </xf>
    <xf numFmtId="0" fontId="38" fillId="0" borderId="0" xfId="0" applyFont="1"/>
    <xf numFmtId="0" fontId="39" fillId="0" borderId="0" xfId="0" applyFont="1"/>
    <xf numFmtId="0" fontId="38" fillId="0" borderId="0" xfId="0" applyFont="1" applyAlignment="1">
      <alignment horizontal="center"/>
    </xf>
    <xf numFmtId="0" fontId="38" fillId="10" borderId="0" xfId="2" applyFont="1" applyFill="1" applyProtection="1">
      <protection hidden="1"/>
    </xf>
    <xf numFmtId="0" fontId="23" fillId="10" borderId="23" xfId="2" applyFont="1" applyFill="1" applyBorder="1" applyAlignment="1" applyProtection="1">
      <alignment horizontal="center" vertical="center"/>
      <protection hidden="1"/>
    </xf>
    <xf numFmtId="0" fontId="43" fillId="14" borderId="2" xfId="0" applyFont="1" applyFill="1" applyBorder="1" applyAlignment="1">
      <alignment horizontal="center" vertical="center" wrapText="1"/>
    </xf>
    <xf numFmtId="0" fontId="43" fillId="14" borderId="3" xfId="0" applyFont="1" applyFill="1" applyBorder="1" applyAlignment="1">
      <alignment horizontal="center" vertical="center" wrapText="1"/>
    </xf>
    <xf numFmtId="0" fontId="0" fillId="14" borderId="3" xfId="0" applyFill="1" applyBorder="1" applyAlignment="1">
      <alignment vertical="center" wrapText="1"/>
    </xf>
    <xf numFmtId="0" fontId="0" fillId="14" borderId="9" xfId="0" applyFill="1" applyBorder="1" applyAlignment="1">
      <alignment vertical="center" wrapText="1"/>
    </xf>
    <xf numFmtId="0" fontId="43" fillId="14" borderId="12" xfId="0" applyFont="1" applyFill="1" applyBorder="1" applyAlignment="1">
      <alignment horizontal="center" vertical="center" wrapText="1"/>
    </xf>
    <xf numFmtId="0" fontId="43" fillId="14" borderId="10" xfId="0" applyFont="1" applyFill="1" applyBorder="1" applyAlignment="1">
      <alignment horizontal="center" vertical="center" wrapText="1"/>
    </xf>
    <xf numFmtId="0" fontId="43" fillId="14" borderId="11" xfId="0" applyFont="1" applyFill="1" applyBorder="1" applyAlignment="1">
      <alignment horizontal="center" vertical="center" wrapText="1"/>
    </xf>
    <xf numFmtId="0" fontId="45" fillId="0" borderId="9" xfId="0" applyFont="1" applyBorder="1" applyAlignment="1">
      <alignment horizontal="center" vertical="center" wrapText="1"/>
    </xf>
    <xf numFmtId="0" fontId="45" fillId="0" borderId="11" xfId="0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  <xf numFmtId="3" fontId="45" fillId="0" borderId="11" xfId="0" applyNumberFormat="1" applyFont="1" applyBorder="1" applyAlignment="1">
      <alignment horizontal="center" vertical="center" wrapText="1"/>
    </xf>
    <xf numFmtId="0" fontId="45" fillId="0" borderId="2" xfId="0" applyFont="1" applyBorder="1" applyAlignment="1">
      <alignment horizontal="center" vertical="center" wrapText="1"/>
    </xf>
    <xf numFmtId="0" fontId="46" fillId="0" borderId="0" xfId="0" applyFont="1"/>
    <xf numFmtId="0" fontId="45" fillId="0" borderId="8" xfId="0" applyFont="1" applyBorder="1" applyAlignment="1">
      <alignment horizontal="center" vertical="center" wrapText="1"/>
    </xf>
    <xf numFmtId="0" fontId="45" fillId="0" borderId="12" xfId="0" applyFont="1" applyBorder="1" applyAlignment="1">
      <alignment horizontal="center" vertical="center" wrapText="1"/>
    </xf>
    <xf numFmtId="3" fontId="45" fillId="0" borderId="12" xfId="0" applyNumberFormat="1" applyFont="1" applyBorder="1" applyAlignment="1">
      <alignment horizontal="center" vertical="center" wrapText="1"/>
    </xf>
    <xf numFmtId="0" fontId="32" fillId="11" borderId="4" xfId="2" applyFont="1" applyFill="1" applyBorder="1" applyAlignment="1" applyProtection="1">
      <alignment horizontal="center"/>
      <protection locked="0"/>
    </xf>
    <xf numFmtId="0" fontId="23" fillId="10" borderId="4" xfId="2" applyFont="1" applyFill="1" applyBorder="1" applyAlignment="1" applyProtection="1">
      <alignment horizontal="center" vertical="center"/>
      <protection hidden="1"/>
    </xf>
    <xf numFmtId="2" fontId="29" fillId="10" borderId="4" xfId="2" applyNumberFormat="1" applyFont="1" applyFill="1" applyBorder="1" applyAlignment="1" applyProtection="1">
      <alignment horizontal="center" vertical="center"/>
      <protection hidden="1"/>
    </xf>
    <xf numFmtId="0" fontId="29" fillId="10" borderId="0" xfId="2" applyFont="1" applyFill="1" applyAlignment="1" applyProtection="1">
      <alignment horizontal="left"/>
      <protection hidden="1"/>
    </xf>
    <xf numFmtId="0" fontId="23" fillId="0" borderId="4" xfId="0" applyFont="1" applyBorder="1" applyAlignment="1">
      <alignment horizontal="center"/>
    </xf>
    <xf numFmtId="0" fontId="29" fillId="8" borderId="4" xfId="0" applyFont="1" applyFill="1" applyBorder="1" applyAlignment="1" applyProtection="1">
      <alignment horizontal="center"/>
      <protection hidden="1"/>
    </xf>
    <xf numFmtId="0" fontId="32" fillId="0" borderId="4" xfId="0" applyFont="1" applyBorder="1" applyAlignment="1">
      <alignment horizontal="center"/>
    </xf>
    <xf numFmtId="2" fontId="22" fillId="10" borderId="4" xfId="2" applyNumberFormat="1" applyFont="1" applyFill="1" applyBorder="1" applyAlignment="1" applyProtection="1">
      <alignment horizontal="center" vertical="center"/>
      <protection hidden="1"/>
    </xf>
    <xf numFmtId="0" fontId="47" fillId="10" borderId="0" xfId="2" applyFont="1" applyFill="1" applyProtection="1">
      <protection hidden="1"/>
    </xf>
    <xf numFmtId="0" fontId="8" fillId="0" borderId="6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13" fillId="0" borderId="26" xfId="0" applyFont="1" applyBorder="1" applyAlignment="1">
      <alignment horizontal="center"/>
    </xf>
    <xf numFmtId="0" fontId="26" fillId="0" borderId="23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23" fillId="0" borderId="26" xfId="0" applyFont="1" applyBorder="1" applyAlignment="1">
      <alignment horizontal="center"/>
    </xf>
    <xf numFmtId="0" fontId="32" fillId="10" borderId="0" xfId="2" applyFont="1" applyFill="1" applyAlignment="1" applyProtection="1">
      <alignment horizontal="center" vertical="center"/>
      <protection hidden="1"/>
    </xf>
    <xf numFmtId="167" fontId="22" fillId="10" borderId="0" xfId="2" applyNumberFormat="1" applyFont="1" applyFill="1" applyAlignment="1" applyProtection="1">
      <alignment horizontal="center"/>
      <protection hidden="1"/>
    </xf>
    <xf numFmtId="0" fontId="22" fillId="0" borderId="0" xfId="2" applyFont="1" applyAlignment="1" applyProtection="1">
      <alignment horizontal="left"/>
      <protection hidden="1"/>
    </xf>
    <xf numFmtId="0" fontId="20" fillId="9" borderId="25" xfId="2" applyFont="1" applyFill="1" applyBorder="1" applyAlignment="1" applyProtection="1">
      <alignment horizontal="center"/>
      <protection hidden="1"/>
    </xf>
    <xf numFmtId="165" fontId="21" fillId="9" borderId="25" xfId="2" applyNumberFormat="1" applyFont="1" applyFill="1" applyBorder="1" applyAlignment="1" applyProtection="1">
      <alignment horizontal="center"/>
      <protection hidden="1"/>
    </xf>
    <xf numFmtId="0" fontId="32" fillId="10" borderId="6" xfId="2" applyFont="1" applyFill="1" applyBorder="1" applyAlignment="1" applyProtection="1">
      <alignment horizontal="center" vertical="center"/>
      <protection hidden="1"/>
    </xf>
    <xf numFmtId="0" fontId="13" fillId="5" borderId="4" xfId="0" applyFont="1" applyFill="1" applyBorder="1" applyAlignment="1" applyProtection="1">
      <alignment horizontal="center"/>
      <protection locked="0"/>
    </xf>
    <xf numFmtId="167" fontId="22" fillId="12" borderId="4" xfId="2" applyNumberFormat="1" applyFont="1" applyFill="1" applyBorder="1" applyAlignment="1" applyProtection="1">
      <alignment horizontal="center"/>
      <protection hidden="1"/>
    </xf>
    <xf numFmtId="167" fontId="42" fillId="0" borderId="0" xfId="0" applyNumberFormat="1" applyFont="1" applyAlignment="1">
      <alignment horizontal="center"/>
    </xf>
    <xf numFmtId="166" fontId="42" fillId="0" borderId="0" xfId="0" applyNumberFormat="1" applyFont="1" applyAlignment="1">
      <alignment horizontal="center"/>
    </xf>
    <xf numFmtId="2" fontId="22" fillId="12" borderId="4" xfId="2" applyNumberFormat="1" applyFont="1" applyFill="1" applyBorder="1" applyAlignment="1" applyProtection="1">
      <alignment horizontal="center"/>
      <protection hidden="1"/>
    </xf>
    <xf numFmtId="164" fontId="32" fillId="11" borderId="4" xfId="2" applyNumberFormat="1" applyFont="1" applyFill="1" applyBorder="1" applyAlignment="1" applyProtection="1">
      <alignment horizontal="center"/>
      <protection locked="0"/>
    </xf>
    <xf numFmtId="0" fontId="22" fillId="0" borderId="0" xfId="0" applyFont="1"/>
    <xf numFmtId="2" fontId="26" fillId="0" borderId="0" xfId="0" applyNumberFormat="1" applyFont="1"/>
    <xf numFmtId="164" fontId="32" fillId="11" borderId="4" xfId="2" applyNumberFormat="1" applyFont="1" applyFill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/>
    </xf>
    <xf numFmtId="1" fontId="26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0" fontId="51" fillId="0" borderId="0" xfId="0" applyFont="1"/>
    <xf numFmtId="0" fontId="40" fillId="0" borderId="0" xfId="0" applyFont="1" applyAlignment="1">
      <alignment horizontal="left"/>
    </xf>
    <xf numFmtId="0" fontId="39" fillId="0" borderId="0" xfId="0" applyFont="1" applyAlignment="1">
      <alignment horizontal="left" vertical="top"/>
    </xf>
    <xf numFmtId="0" fontId="52" fillId="0" borderId="0" xfId="0" applyFont="1"/>
    <xf numFmtId="0" fontId="41" fillId="0" borderId="0" xfId="0" applyFont="1"/>
    <xf numFmtId="0" fontId="53" fillId="0" borderId="0" xfId="0" applyFont="1"/>
    <xf numFmtId="0" fontId="47" fillId="0" borderId="0" xfId="0" applyFont="1"/>
    <xf numFmtId="166" fontId="22" fillId="0" borderId="0" xfId="0" applyNumberFormat="1" applyFont="1" applyAlignment="1">
      <alignment horizontal="center"/>
    </xf>
    <xf numFmtId="0" fontId="54" fillId="0" borderId="0" xfId="0" applyFont="1"/>
    <xf numFmtId="0" fontId="55" fillId="0" borderId="0" xfId="0" applyFont="1"/>
    <xf numFmtId="0" fontId="39" fillId="0" borderId="0" xfId="0" applyFont="1" applyAlignment="1">
      <alignment horizontal="left"/>
    </xf>
    <xf numFmtId="0" fontId="26" fillId="16" borderId="0" xfId="0" applyFont="1" applyFill="1" applyAlignment="1">
      <alignment horizontal="center"/>
    </xf>
    <xf numFmtId="0" fontId="36" fillId="0" borderId="0" xfId="0" applyFont="1"/>
    <xf numFmtId="0" fontId="13" fillId="0" borderId="0" xfId="0" applyFont="1"/>
    <xf numFmtId="0" fontId="58" fillId="0" borderId="0" xfId="0" applyFont="1"/>
    <xf numFmtId="0" fontId="59" fillId="0" borderId="0" xfId="0" applyFont="1" applyAlignment="1">
      <alignment horizontal="center"/>
    </xf>
    <xf numFmtId="11" fontId="26" fillId="0" borderId="0" xfId="0" applyNumberFormat="1" applyFont="1" applyAlignment="1">
      <alignment horizontal="center"/>
    </xf>
    <xf numFmtId="0" fontId="26" fillId="0" borderId="0" xfId="0" applyFont="1" applyAlignment="1">
      <alignment horizontal="left"/>
    </xf>
    <xf numFmtId="167" fontId="26" fillId="0" borderId="0" xfId="0" applyNumberFormat="1" applyFont="1" applyAlignment="1">
      <alignment horizontal="center"/>
    </xf>
    <xf numFmtId="0" fontId="22" fillId="0" borderId="0" xfId="0" applyFont="1" applyAlignment="1">
      <alignment horizontal="left"/>
    </xf>
    <xf numFmtId="167" fontId="26" fillId="0" borderId="0" xfId="0" applyNumberFormat="1" applyFont="1"/>
    <xf numFmtId="11" fontId="22" fillId="0" borderId="0" xfId="0" applyNumberFormat="1" applyFont="1" applyAlignment="1">
      <alignment horizontal="center"/>
    </xf>
    <xf numFmtId="0" fontId="61" fillId="0" borderId="0" xfId="0" applyFont="1"/>
    <xf numFmtId="1" fontId="22" fillId="0" borderId="0" xfId="0" applyNumberFormat="1" applyFont="1" applyAlignment="1">
      <alignment horizontal="center"/>
    </xf>
    <xf numFmtId="166" fontId="26" fillId="0" borderId="0" xfId="0" applyNumberFormat="1" applyFont="1" applyAlignment="1">
      <alignment horizontal="center"/>
    </xf>
    <xf numFmtId="0" fontId="62" fillId="0" borderId="0" xfId="0" applyFont="1"/>
    <xf numFmtId="168" fontId="26" fillId="16" borderId="0" xfId="0" applyNumberFormat="1" applyFont="1" applyFill="1" applyAlignment="1">
      <alignment horizontal="center"/>
    </xf>
    <xf numFmtId="0" fontId="63" fillId="16" borderId="0" xfId="0" applyFont="1" applyFill="1"/>
    <xf numFmtId="166" fontId="51" fillId="0" borderId="0" xfId="0" applyNumberFormat="1" applyFont="1" applyAlignment="1">
      <alignment horizontal="center"/>
    </xf>
    <xf numFmtId="167" fontId="26" fillId="16" borderId="0" xfId="0" applyNumberFormat="1" applyFont="1" applyFill="1" applyAlignment="1">
      <alignment horizontal="center"/>
    </xf>
    <xf numFmtId="11" fontId="51" fillId="0" borderId="0" xfId="0" applyNumberFormat="1" applyFont="1" applyAlignment="1">
      <alignment horizontal="center"/>
    </xf>
    <xf numFmtId="168" fontId="26" fillId="0" borderId="0" xfId="0" applyNumberFormat="1" applyFont="1"/>
    <xf numFmtId="168" fontId="39" fillId="0" borderId="0" xfId="0" applyNumberFormat="1" applyFont="1"/>
    <xf numFmtId="168" fontId="52" fillId="0" borderId="0" xfId="0" applyNumberFormat="1" applyFont="1" applyAlignment="1">
      <alignment horizontal="center"/>
    </xf>
    <xf numFmtId="0" fontId="52" fillId="0" borderId="0" xfId="0" applyFont="1" applyAlignment="1">
      <alignment horizontal="left"/>
    </xf>
    <xf numFmtId="0" fontId="0" fillId="16" borderId="0" xfId="0" applyFill="1"/>
    <xf numFmtId="0" fontId="61" fillId="16" borderId="0" xfId="0" applyFont="1" applyFill="1"/>
    <xf numFmtId="167" fontId="32" fillId="11" borderId="4" xfId="2" applyNumberFormat="1" applyFont="1" applyFill="1" applyBorder="1" applyAlignment="1" applyProtection="1">
      <alignment horizontal="center" vertical="center"/>
      <protection locked="0"/>
    </xf>
    <xf numFmtId="167" fontId="32" fillId="11" borderId="23" xfId="2" applyNumberFormat="1" applyFont="1" applyFill="1" applyBorder="1" applyAlignment="1" applyProtection="1">
      <alignment horizontal="center" vertical="center"/>
      <protection locked="0"/>
    </xf>
    <xf numFmtId="0" fontId="57" fillId="0" borderId="0" xfId="0" applyFont="1"/>
    <xf numFmtId="0" fontId="26" fillId="17" borderId="0" xfId="0" applyFont="1" applyFill="1" applyAlignment="1">
      <alignment horizontal="center"/>
    </xf>
    <xf numFmtId="167" fontId="22" fillId="0" borderId="0" xfId="0" applyNumberFormat="1" applyFont="1"/>
    <xf numFmtId="1" fontId="22" fillId="12" borderId="4" xfId="2" applyNumberFormat="1" applyFont="1" applyFill="1" applyBorder="1" applyAlignment="1" applyProtection="1">
      <alignment horizontal="center"/>
      <protection hidden="1"/>
    </xf>
    <xf numFmtId="1" fontId="39" fillId="0" borderId="0" xfId="0" applyNumberFormat="1" applyFont="1" applyAlignment="1">
      <alignment horizontal="center"/>
    </xf>
    <xf numFmtId="167" fontId="39" fillId="0" borderId="0" xfId="0" applyNumberFormat="1" applyFont="1"/>
    <xf numFmtId="1" fontId="26" fillId="0" borderId="0" xfId="0" applyNumberFormat="1" applyFont="1"/>
    <xf numFmtId="1" fontId="22" fillId="0" borderId="0" xfId="0" applyNumberFormat="1" applyFont="1"/>
    <xf numFmtId="166" fontId="26" fillId="0" borderId="0" xfId="0" applyNumberFormat="1" applyFont="1"/>
    <xf numFmtId="1" fontId="0" fillId="0" borderId="0" xfId="0" applyNumberFormat="1"/>
    <xf numFmtId="11" fontId="26" fillId="17" borderId="0" xfId="0" applyNumberFormat="1" applyFont="1" applyFill="1" applyAlignment="1">
      <alignment horizontal="center"/>
    </xf>
    <xf numFmtId="0" fontId="68" fillId="0" borderId="0" xfId="0" applyFont="1"/>
    <xf numFmtId="11" fontId="54" fillId="0" borderId="0" xfId="0" applyNumberFormat="1" applyFont="1" applyAlignment="1">
      <alignment horizontal="center"/>
    </xf>
    <xf numFmtId="166" fontId="54" fillId="0" borderId="0" xfId="0" applyNumberFormat="1" applyFont="1" applyAlignment="1">
      <alignment horizontal="center"/>
    </xf>
    <xf numFmtId="0" fontId="67" fillId="0" borderId="0" xfId="0" applyFont="1"/>
    <xf numFmtId="1" fontId="54" fillId="0" borderId="0" xfId="0" applyNumberFormat="1" applyFont="1"/>
    <xf numFmtId="0" fontId="60" fillId="0" borderId="0" xfId="0" applyFont="1"/>
    <xf numFmtId="0" fontId="54" fillId="0" borderId="0" xfId="0" applyFont="1" applyAlignment="1">
      <alignment horizontal="left"/>
    </xf>
    <xf numFmtId="166" fontId="39" fillId="0" borderId="0" xfId="0" applyNumberFormat="1" applyFont="1"/>
    <xf numFmtId="166" fontId="54" fillId="0" borderId="0" xfId="0" applyNumberFormat="1" applyFont="1"/>
    <xf numFmtId="0" fontId="47" fillId="10" borderId="0" xfId="2" applyFont="1" applyFill="1" applyAlignment="1" applyProtection="1">
      <alignment horizontal="left"/>
      <protection hidden="1"/>
    </xf>
    <xf numFmtId="1" fontId="22" fillId="12" borderId="4" xfId="0" applyNumberFormat="1" applyFont="1" applyFill="1" applyBorder="1" applyAlignment="1" applyProtection="1">
      <alignment horizontal="center" vertical="center"/>
      <protection hidden="1"/>
    </xf>
    <xf numFmtId="166" fontId="29" fillId="12" borderId="4" xfId="0" applyNumberFormat="1" applyFont="1" applyFill="1" applyBorder="1" applyAlignment="1" applyProtection="1">
      <alignment horizontal="center"/>
      <protection hidden="1"/>
    </xf>
    <xf numFmtId="0" fontId="71" fillId="10" borderId="10" xfId="2" applyFont="1" applyFill="1" applyBorder="1" applyProtection="1">
      <protection hidden="1"/>
    </xf>
    <xf numFmtId="1" fontId="32" fillId="11" borderId="4" xfId="2" applyNumberFormat="1" applyFont="1" applyFill="1" applyBorder="1" applyAlignment="1" applyProtection="1">
      <alignment horizontal="center"/>
      <protection locked="0"/>
    </xf>
    <xf numFmtId="166" fontId="32" fillId="11" borderId="4" xfId="2" applyNumberFormat="1" applyFont="1" applyFill="1" applyBorder="1" applyAlignment="1" applyProtection="1">
      <alignment horizontal="center"/>
      <protection locked="0"/>
    </xf>
    <xf numFmtId="0" fontId="65" fillId="10" borderId="13" xfId="2" applyFont="1" applyFill="1" applyBorder="1" applyAlignment="1" applyProtection="1">
      <alignment horizontal="left" vertical="center"/>
      <protection hidden="1"/>
    </xf>
    <xf numFmtId="0" fontId="65" fillId="10" borderId="30" xfId="2" applyFont="1" applyFill="1" applyBorder="1" applyAlignment="1" applyProtection="1">
      <alignment horizontal="left" vertical="center"/>
      <protection hidden="1"/>
    </xf>
    <xf numFmtId="0" fontId="65" fillId="10" borderId="31" xfId="2" applyFont="1" applyFill="1" applyBorder="1" applyAlignment="1" applyProtection="1">
      <alignment horizontal="left" vertical="center"/>
      <protection hidden="1"/>
    </xf>
    <xf numFmtId="0" fontId="42" fillId="10" borderId="7" xfId="2" applyFont="1" applyFill="1" applyBorder="1" applyAlignment="1" applyProtection="1">
      <alignment horizontal="left" vertical="center"/>
      <protection hidden="1"/>
    </xf>
    <xf numFmtId="0" fontId="72" fillId="10" borderId="0" xfId="2" applyFont="1" applyFill="1" applyAlignment="1" applyProtection="1">
      <alignment horizontal="left" vertical="center" wrapText="1"/>
      <protection hidden="1"/>
    </xf>
    <xf numFmtId="0" fontId="72" fillId="10" borderId="10" xfId="2" applyFont="1" applyFill="1" applyBorder="1" applyAlignment="1" applyProtection="1">
      <alignment horizontal="left" vertical="center" wrapText="1"/>
      <protection hidden="1"/>
    </xf>
    <xf numFmtId="0" fontId="42" fillId="10" borderId="21" xfId="2" applyFont="1" applyFill="1" applyBorder="1" applyAlignment="1" applyProtection="1">
      <alignment horizontal="center" vertical="center"/>
      <protection hidden="1"/>
    </xf>
    <xf numFmtId="0" fontId="42" fillId="10" borderId="11" xfId="2" applyFont="1" applyFill="1" applyBorder="1" applyAlignment="1" applyProtection="1">
      <alignment horizontal="center" vertical="center"/>
      <protection hidden="1"/>
    </xf>
    <xf numFmtId="0" fontId="6" fillId="4" borderId="4" xfId="0" applyFont="1" applyFill="1" applyBorder="1" applyAlignment="1" applyProtection="1">
      <alignment horizontal="center" vertical="center"/>
      <protection hidden="1"/>
    </xf>
    <xf numFmtId="0" fontId="6" fillId="4" borderId="4" xfId="0" applyFont="1" applyFill="1" applyBorder="1" applyAlignment="1" applyProtection="1">
      <alignment horizontal="center"/>
      <protection hidden="1"/>
    </xf>
    <xf numFmtId="167" fontId="6" fillId="13" borderId="4" xfId="0" applyNumberFormat="1" applyFont="1" applyFill="1" applyBorder="1" applyAlignment="1" applyProtection="1">
      <alignment horizontal="center"/>
      <protection hidden="1"/>
    </xf>
    <xf numFmtId="2" fontId="23" fillId="11" borderId="4" xfId="0" applyNumberFormat="1" applyFont="1" applyFill="1" applyBorder="1" applyAlignment="1" applyProtection="1">
      <alignment horizontal="center"/>
      <protection locked="0" hidden="1"/>
    </xf>
    <xf numFmtId="2" fontId="29" fillId="10" borderId="4" xfId="0" applyNumberFormat="1" applyFont="1" applyFill="1" applyBorder="1" applyAlignment="1" applyProtection="1">
      <alignment horizontal="center"/>
      <protection hidden="1"/>
    </xf>
    <xf numFmtId="0" fontId="22" fillId="12" borderId="4" xfId="2" applyFont="1" applyFill="1" applyBorder="1" applyAlignment="1" applyProtection="1">
      <alignment horizontal="center"/>
      <protection hidden="1"/>
    </xf>
    <xf numFmtId="167" fontId="22" fillId="12" borderId="4" xfId="0" applyNumberFormat="1" applyFont="1" applyFill="1" applyBorder="1" applyAlignment="1" applyProtection="1">
      <alignment horizontal="center"/>
      <protection hidden="1"/>
    </xf>
    <xf numFmtId="1" fontId="22" fillId="0" borderId="4" xfId="0" applyNumberFormat="1" applyFont="1" applyBorder="1" applyAlignment="1" applyProtection="1">
      <alignment horizontal="center"/>
      <protection hidden="1"/>
    </xf>
    <xf numFmtId="0" fontId="69" fillId="10" borderId="4" xfId="0" applyFont="1" applyFill="1" applyBorder="1" applyAlignment="1" applyProtection="1">
      <alignment horizontal="center"/>
      <protection hidden="1"/>
    </xf>
    <xf numFmtId="167" fontId="22" fillId="12" borderId="22" xfId="0" applyNumberFormat="1" applyFont="1" applyFill="1" applyBorder="1" applyAlignment="1" applyProtection="1">
      <alignment horizontal="center"/>
      <protection hidden="1"/>
    </xf>
    <xf numFmtId="0" fontId="1" fillId="10" borderId="4" xfId="0" applyFont="1" applyFill="1" applyBorder="1" applyAlignment="1" applyProtection="1">
      <alignment horizontal="center"/>
      <protection hidden="1"/>
    </xf>
    <xf numFmtId="0" fontId="32" fillId="11" borderId="4" xfId="0" applyFont="1" applyFill="1" applyBorder="1" applyAlignment="1" applyProtection="1">
      <alignment horizontal="center" vertical="center"/>
      <protection locked="0"/>
    </xf>
    <xf numFmtId="0" fontId="64" fillId="11" borderId="4" xfId="0" applyFont="1" applyFill="1" applyBorder="1" applyAlignment="1" applyProtection="1">
      <alignment horizontal="center"/>
      <protection locked="0"/>
    </xf>
    <xf numFmtId="0" fontId="13" fillId="5" borderId="0" xfId="0" applyFont="1" applyFill="1" applyAlignment="1" applyProtection="1">
      <alignment horizontal="left"/>
      <protection locked="0" hidden="1"/>
    </xf>
    <xf numFmtId="0" fontId="10" fillId="0" borderId="0" xfId="0" applyFont="1" applyAlignment="1" applyProtection="1">
      <alignment horizontal="right"/>
      <protection hidden="1"/>
    </xf>
    <xf numFmtId="11" fontId="55" fillId="0" borderId="0" xfId="0" applyNumberFormat="1" applyFont="1" applyAlignment="1">
      <alignment horizontal="center"/>
    </xf>
    <xf numFmtId="11" fontId="73" fillId="0" borderId="0" xfId="0" applyNumberFormat="1" applyFont="1" applyAlignment="1">
      <alignment horizontal="center"/>
    </xf>
    <xf numFmtId="0" fontId="74" fillId="0" borderId="0" xfId="0" applyFont="1"/>
    <xf numFmtId="0" fontId="75" fillId="0" borderId="0" xfId="0" applyFont="1"/>
    <xf numFmtId="2" fontId="51" fillId="0" borderId="0" xfId="0" applyNumberFormat="1" applyFont="1" applyAlignment="1">
      <alignment horizontal="center"/>
    </xf>
    <xf numFmtId="0" fontId="63" fillId="0" borderId="0" xfId="0" applyFont="1"/>
    <xf numFmtId="0" fontId="78" fillId="0" borderId="0" xfId="0" applyFont="1"/>
    <xf numFmtId="0" fontId="79" fillId="0" borderId="0" xfId="0" applyFont="1"/>
    <xf numFmtId="0" fontId="42" fillId="0" borderId="0" xfId="0" applyFont="1"/>
    <xf numFmtId="0" fontId="81" fillId="0" borderId="0" xfId="0" applyFont="1"/>
    <xf numFmtId="2" fontId="80" fillId="0" borderId="0" xfId="0" applyNumberFormat="1" applyFont="1"/>
    <xf numFmtId="2" fontId="0" fillId="0" borderId="0" xfId="0" applyNumberFormat="1"/>
    <xf numFmtId="0" fontId="82" fillId="0" borderId="0" xfId="0" applyFont="1"/>
    <xf numFmtId="0" fontId="82" fillId="0" borderId="0" xfId="0" applyFont="1" applyAlignment="1">
      <alignment horizontal="center"/>
    </xf>
    <xf numFmtId="0" fontId="82" fillId="0" borderId="0" xfId="0" applyFont="1" applyAlignment="1">
      <alignment horizontal="left"/>
    </xf>
    <xf numFmtId="0" fontId="83" fillId="0" borderId="0" xfId="0" applyFont="1" applyAlignment="1">
      <alignment horizontal="left"/>
    </xf>
    <xf numFmtId="11" fontId="22" fillId="0" borderId="0" xfId="0" applyNumberFormat="1" applyFont="1"/>
    <xf numFmtId="0" fontId="84" fillId="0" borderId="0" xfId="0" applyFont="1"/>
    <xf numFmtId="0" fontId="84" fillId="0" borderId="0" xfId="0" applyFont="1" applyAlignment="1">
      <alignment horizontal="center"/>
    </xf>
    <xf numFmtId="166" fontId="32" fillId="0" borderId="0" xfId="0" applyNumberFormat="1" applyFont="1"/>
    <xf numFmtId="0" fontId="22" fillId="0" borderId="0" xfId="0" applyFont="1" applyAlignment="1">
      <alignment horizontal="right"/>
    </xf>
    <xf numFmtId="0" fontId="32" fillId="0" borderId="0" xfId="0" applyFont="1" applyAlignment="1">
      <alignment horizontal="center"/>
    </xf>
    <xf numFmtId="2" fontId="22" fillId="0" borderId="0" xfId="0" applyNumberFormat="1" applyFont="1" applyAlignment="1">
      <alignment horizontal="center"/>
    </xf>
    <xf numFmtId="0" fontId="60" fillId="0" borderId="0" xfId="0" applyFont="1" applyAlignment="1">
      <alignment horizontal="left"/>
    </xf>
    <xf numFmtId="11" fontId="26" fillId="0" borderId="0" xfId="0" applyNumberFormat="1" applyFont="1"/>
    <xf numFmtId="167" fontId="86" fillId="0" borderId="0" xfId="0" applyNumberFormat="1" applyFont="1" applyAlignment="1">
      <alignment horizontal="right"/>
    </xf>
    <xf numFmtId="0" fontId="88" fillId="0" borderId="0" xfId="0" applyFont="1"/>
    <xf numFmtId="0" fontId="90" fillId="0" borderId="0" xfId="0" applyFont="1"/>
    <xf numFmtId="0" fontId="85" fillId="0" borderId="0" xfId="0" applyFont="1"/>
    <xf numFmtId="0" fontId="91" fillId="0" borderId="0" xfId="0" applyFont="1" applyAlignment="1">
      <alignment horizontal="center"/>
    </xf>
    <xf numFmtId="0" fontId="66" fillId="0" borderId="0" xfId="0" applyFont="1" applyAlignment="1">
      <alignment horizontal="center"/>
    </xf>
    <xf numFmtId="0" fontId="22" fillId="12" borderId="0" xfId="0" applyFont="1" applyFill="1" applyAlignment="1">
      <alignment horizontal="center"/>
    </xf>
    <xf numFmtId="1" fontId="22" fillId="12" borderId="0" xfId="0" applyNumberFormat="1" applyFont="1" applyFill="1" applyAlignment="1">
      <alignment horizontal="center"/>
    </xf>
    <xf numFmtId="11" fontId="22" fillId="12" borderId="0" xfId="0" applyNumberFormat="1" applyFont="1" applyFill="1" applyAlignment="1">
      <alignment horizontal="center"/>
    </xf>
    <xf numFmtId="167" fontId="22" fillId="12" borderId="0" xfId="0" applyNumberFormat="1" applyFont="1" applyFill="1" applyAlignment="1">
      <alignment horizontal="center"/>
    </xf>
    <xf numFmtId="169" fontId="26" fillId="0" borderId="0" xfId="0" applyNumberFormat="1" applyFont="1"/>
    <xf numFmtId="168" fontId="53" fillId="0" borderId="0" xfId="0" applyNumberFormat="1" applyFont="1"/>
    <xf numFmtId="11" fontId="53" fillId="0" borderId="0" xfId="0" applyNumberFormat="1" applyFont="1"/>
    <xf numFmtId="169" fontId="39" fillId="0" borderId="0" xfId="0" applyNumberFormat="1" applyFont="1"/>
    <xf numFmtId="169" fontId="41" fillId="0" borderId="0" xfId="0" applyNumberFormat="1" applyFont="1"/>
    <xf numFmtId="169" fontId="22" fillId="0" borderId="0" xfId="0" applyNumberFormat="1" applyFont="1" applyAlignment="1">
      <alignment horizontal="right"/>
    </xf>
    <xf numFmtId="169" fontId="22" fillId="0" borderId="0" xfId="0" applyNumberFormat="1" applyFont="1"/>
    <xf numFmtId="0" fontId="92" fillId="0" borderId="0" xfId="0" applyFont="1"/>
    <xf numFmtId="0" fontId="93" fillId="0" borderId="0" xfId="0" applyFont="1"/>
    <xf numFmtId="2" fontId="92" fillId="0" borderId="0" xfId="0" applyNumberFormat="1" applyFont="1"/>
    <xf numFmtId="169" fontId="92" fillId="0" borderId="0" xfId="0" applyNumberFormat="1" applyFont="1"/>
    <xf numFmtId="0" fontId="94" fillId="0" borderId="0" xfId="0" applyFont="1"/>
    <xf numFmtId="170" fontId="51" fillId="0" borderId="0" xfId="0" applyNumberFormat="1" applyFont="1"/>
    <xf numFmtId="170" fontId="42" fillId="0" borderId="0" xfId="0" applyNumberFormat="1" applyFont="1" applyAlignment="1">
      <alignment horizontal="center"/>
    </xf>
    <xf numFmtId="170" fontId="26" fillId="0" borderId="0" xfId="0" applyNumberFormat="1" applyFont="1"/>
    <xf numFmtId="170" fontId="22" fillId="0" borderId="0" xfId="0" applyNumberFormat="1" applyFont="1"/>
    <xf numFmtId="170" fontId="51" fillId="0" borderId="0" xfId="0" applyNumberFormat="1" applyFont="1" applyAlignment="1">
      <alignment horizontal="center"/>
    </xf>
    <xf numFmtId="167" fontId="42" fillId="0" borderId="0" xfId="0" applyNumberFormat="1" applyFont="1"/>
    <xf numFmtId="1" fontId="95" fillId="0" borderId="0" xfId="0" applyNumberFormat="1" applyFont="1" applyAlignment="1">
      <alignment horizontal="center"/>
    </xf>
    <xf numFmtId="1" fontId="41" fillId="10" borderId="0" xfId="2" applyNumberFormat="1" applyFont="1" applyFill="1" applyAlignment="1" applyProtection="1">
      <alignment horizontal="center"/>
      <protection hidden="1"/>
    </xf>
    <xf numFmtId="169" fontId="88" fillId="0" borderId="0" xfId="0" applyNumberFormat="1" applyFont="1" applyAlignment="1">
      <alignment vertical="center" wrapText="1"/>
    </xf>
    <xf numFmtId="169" fontId="54" fillId="0" borderId="0" xfId="0" applyNumberFormat="1" applyFont="1"/>
    <xf numFmtId="1" fontId="53" fillId="0" borderId="0" xfId="0" applyNumberFormat="1" applyFont="1"/>
    <xf numFmtId="0" fontId="39" fillId="0" borderId="0" xfId="0" applyFont="1" applyAlignment="1">
      <alignment vertical="center" wrapText="1"/>
    </xf>
    <xf numFmtId="170" fontId="54" fillId="0" borderId="0" xfId="0" applyNumberFormat="1" applyFont="1"/>
    <xf numFmtId="168" fontId="22" fillId="0" borderId="0" xfId="0" applyNumberFormat="1" applyFont="1" applyAlignment="1">
      <alignment horizontal="right"/>
    </xf>
    <xf numFmtId="167" fontId="22" fillId="0" borderId="0" xfId="0" applyNumberFormat="1" applyFont="1" applyAlignment="1">
      <alignment horizontal="center"/>
    </xf>
    <xf numFmtId="0" fontId="59" fillId="0" borderId="0" xfId="0" applyFont="1"/>
    <xf numFmtId="169" fontId="26" fillId="0" borderId="0" xfId="0" applyNumberFormat="1" applyFont="1" applyAlignment="1">
      <alignment horizontal="center"/>
    </xf>
    <xf numFmtId="169" fontId="42" fillId="0" borderId="0" xfId="0" applyNumberFormat="1" applyFont="1" applyAlignment="1">
      <alignment horizontal="center"/>
    </xf>
    <xf numFmtId="0" fontId="77" fillId="0" borderId="0" xfId="0" applyFont="1"/>
    <xf numFmtId="169" fontId="22" fillId="0" borderId="0" xfId="0" applyNumberFormat="1" applyFont="1" applyAlignment="1">
      <alignment horizontal="center"/>
    </xf>
    <xf numFmtId="169" fontId="54" fillId="0" borderId="0" xfId="0" applyNumberFormat="1" applyFont="1" applyAlignment="1">
      <alignment horizontal="center"/>
    </xf>
    <xf numFmtId="166" fontId="13" fillId="0" borderId="0" xfId="0" applyNumberFormat="1" applyFont="1" applyAlignment="1">
      <alignment horizontal="center"/>
    </xf>
    <xf numFmtId="0" fontId="96" fillId="0" borderId="0" xfId="0" applyFont="1"/>
    <xf numFmtId="0" fontId="42" fillId="0" borderId="0" xfId="0" applyFont="1" applyAlignment="1">
      <alignment horizontal="center"/>
    </xf>
    <xf numFmtId="0" fontId="97" fillId="0" borderId="0" xfId="0" applyFont="1" applyAlignment="1">
      <alignment horizontal="center"/>
    </xf>
    <xf numFmtId="0" fontId="97" fillId="0" borderId="0" xfId="0" applyFont="1"/>
    <xf numFmtId="166" fontId="32" fillId="0" borderId="0" xfId="0" applyNumberFormat="1" applyFont="1" applyAlignment="1">
      <alignment horizontal="center"/>
    </xf>
    <xf numFmtId="11" fontId="84" fillId="0" borderId="0" xfId="0" applyNumberFormat="1" applyFont="1"/>
    <xf numFmtId="0" fontId="84" fillId="16" borderId="0" xfId="0" applyFont="1" applyFill="1"/>
    <xf numFmtId="11" fontId="84" fillId="16" borderId="0" xfId="0" applyNumberFormat="1" applyFont="1" applyFill="1"/>
    <xf numFmtId="168" fontId="84" fillId="0" borderId="0" xfId="0" applyNumberFormat="1" applyFont="1"/>
    <xf numFmtId="167" fontId="84" fillId="0" borderId="0" xfId="0" applyNumberFormat="1" applyFont="1"/>
    <xf numFmtId="168" fontId="22" fillId="16" borderId="0" xfId="0" applyNumberFormat="1" applyFont="1" applyFill="1" applyAlignment="1">
      <alignment horizontal="center"/>
    </xf>
    <xf numFmtId="0" fontId="100" fillId="0" borderId="0" xfId="0" applyFont="1"/>
    <xf numFmtId="0" fontId="32" fillId="0" borderId="0" xfId="0" applyFont="1" applyAlignment="1">
      <alignment horizontal="right"/>
    </xf>
    <xf numFmtId="164" fontId="22" fillId="12" borderId="4" xfId="2" applyNumberFormat="1" applyFont="1" applyFill="1" applyBorder="1" applyAlignment="1" applyProtection="1">
      <alignment horizontal="center"/>
      <protection hidden="1"/>
    </xf>
    <xf numFmtId="1" fontId="22" fillId="0" borderId="4" xfId="2" applyNumberFormat="1" applyFont="1" applyBorder="1" applyAlignment="1" applyProtection="1">
      <alignment horizontal="center"/>
      <protection hidden="1"/>
    </xf>
    <xf numFmtId="0" fontId="22" fillId="10" borderId="0" xfId="2" applyFont="1" applyFill="1" applyAlignment="1" applyProtection="1">
      <alignment horizontal="left" vertical="center"/>
      <protection hidden="1"/>
    </xf>
    <xf numFmtId="0" fontId="42" fillId="10" borderId="9" xfId="2" applyFont="1" applyFill="1" applyBorder="1" applyAlignment="1" applyProtection="1">
      <alignment horizontal="left" vertical="center"/>
      <protection hidden="1"/>
    </xf>
    <xf numFmtId="166" fontId="32" fillId="12" borderId="4" xfId="2" applyNumberFormat="1" applyFont="1" applyFill="1" applyBorder="1" applyAlignment="1" applyProtection="1">
      <alignment horizontal="center"/>
      <protection hidden="1"/>
    </xf>
    <xf numFmtId="0" fontId="102" fillId="0" borderId="0" xfId="0" applyFont="1"/>
    <xf numFmtId="2" fontId="32" fillId="0" borderId="0" xfId="0" applyNumberFormat="1" applyFont="1"/>
    <xf numFmtId="0" fontId="32" fillId="0" borderId="0" xfId="0" applyFont="1"/>
    <xf numFmtId="1" fontId="36" fillId="0" borderId="0" xfId="0" applyNumberFormat="1" applyFont="1"/>
    <xf numFmtId="168" fontId="36" fillId="0" borderId="0" xfId="0" applyNumberFormat="1" applyFont="1"/>
    <xf numFmtId="2" fontId="22" fillId="0" borderId="0" xfId="0" applyNumberFormat="1" applyFont="1"/>
    <xf numFmtId="1" fontId="79" fillId="0" borderId="0" xfId="0" applyNumberFormat="1" applyFont="1"/>
    <xf numFmtId="168" fontId="79" fillId="0" borderId="0" xfId="0" applyNumberFormat="1" applyFont="1"/>
    <xf numFmtId="2" fontId="42" fillId="0" borderId="0" xfId="0" applyNumberFormat="1" applyFont="1"/>
    <xf numFmtId="1" fontId="62" fillId="0" borderId="0" xfId="0" applyNumberFormat="1" applyFont="1"/>
    <xf numFmtId="168" fontId="62" fillId="0" borderId="0" xfId="0" applyNumberFormat="1" applyFont="1"/>
    <xf numFmtId="2" fontId="39" fillId="0" borderId="0" xfId="0" applyNumberFormat="1" applyFont="1"/>
    <xf numFmtId="168" fontId="0" fillId="0" borderId="0" xfId="0" applyNumberFormat="1"/>
    <xf numFmtId="0" fontId="91" fillId="0" borderId="0" xfId="0" applyFont="1" applyProtection="1">
      <protection hidden="1"/>
    </xf>
    <xf numFmtId="0" fontId="29" fillId="10" borderId="35" xfId="2" applyFont="1" applyFill="1" applyBorder="1" applyAlignment="1" applyProtection="1">
      <alignment horizontal="center"/>
      <protection hidden="1"/>
    </xf>
    <xf numFmtId="0" fontId="29" fillId="10" borderId="0" xfId="2" applyFont="1" applyFill="1" applyAlignment="1" applyProtection="1">
      <alignment horizontal="center"/>
      <protection hidden="1"/>
    </xf>
    <xf numFmtId="0" fontId="29" fillId="10" borderId="10" xfId="2" applyFont="1" applyFill="1" applyBorder="1" applyAlignment="1" applyProtection="1">
      <alignment horizontal="center"/>
      <protection hidden="1"/>
    </xf>
    <xf numFmtId="0" fontId="29" fillId="10" borderId="35" xfId="2" applyFont="1" applyFill="1" applyBorder="1" applyAlignment="1" applyProtection="1">
      <alignment horizontal="left"/>
      <protection hidden="1"/>
    </xf>
    <xf numFmtId="0" fontId="29" fillId="10" borderId="0" xfId="2" applyFont="1" applyFill="1" applyAlignment="1" applyProtection="1">
      <alignment horizontal="left"/>
      <protection hidden="1"/>
    </xf>
    <xf numFmtId="0" fontId="29" fillId="10" borderId="10" xfId="2" applyFont="1" applyFill="1" applyBorder="1" applyAlignment="1" applyProtection="1">
      <alignment horizontal="left"/>
      <protection hidden="1"/>
    </xf>
    <xf numFmtId="0" fontId="23" fillId="10" borderId="0" xfId="2" applyFont="1" applyFill="1" applyAlignment="1" applyProtection="1">
      <alignment horizontal="center"/>
      <protection hidden="1"/>
    </xf>
    <xf numFmtId="0" fontId="23" fillId="10" borderId="10" xfId="2" applyFont="1" applyFill="1" applyBorder="1" applyAlignment="1" applyProtection="1">
      <alignment horizontal="center"/>
      <protection hidden="1"/>
    </xf>
    <xf numFmtId="0" fontId="23" fillId="10" borderId="7" xfId="2" applyFont="1" applyFill="1" applyBorder="1" applyAlignment="1" applyProtection="1">
      <alignment horizontal="center"/>
      <protection hidden="1"/>
    </xf>
    <xf numFmtId="0" fontId="47" fillId="10" borderId="0" xfId="2" applyFont="1" applyFill="1" applyAlignment="1" applyProtection="1">
      <alignment horizontal="center" wrapText="1"/>
      <protection hidden="1"/>
    </xf>
    <xf numFmtId="0" fontId="1" fillId="0" borderId="10" xfId="0" applyFont="1" applyBorder="1" applyAlignment="1">
      <alignment horizontal="center"/>
    </xf>
    <xf numFmtId="0" fontId="22" fillId="10" borderId="35" xfId="2" applyFont="1" applyFill="1" applyBorder="1" applyAlignment="1" applyProtection="1">
      <alignment horizontal="left"/>
      <protection hidden="1"/>
    </xf>
    <xf numFmtId="0" fontId="22" fillId="10" borderId="0" xfId="2" applyFont="1" applyFill="1" applyAlignment="1" applyProtection="1">
      <alignment horizontal="left"/>
      <protection hidden="1"/>
    </xf>
    <xf numFmtId="0" fontId="22" fillId="10" borderId="10" xfId="2" applyFont="1" applyFill="1" applyBorder="1" applyAlignment="1" applyProtection="1">
      <alignment horizontal="left"/>
      <protection hidden="1"/>
    </xf>
    <xf numFmtId="0" fontId="6" fillId="10" borderId="35" xfId="2" applyFont="1" applyFill="1" applyBorder="1" applyAlignment="1" applyProtection="1">
      <alignment horizontal="left"/>
      <protection hidden="1"/>
    </xf>
    <xf numFmtId="0" fontId="6" fillId="10" borderId="0" xfId="2" applyFont="1" applyFill="1" applyAlignment="1" applyProtection="1">
      <alignment horizontal="left"/>
      <protection hidden="1"/>
    </xf>
    <xf numFmtId="0" fontId="6" fillId="10" borderId="10" xfId="2" applyFont="1" applyFill="1" applyBorder="1" applyAlignment="1" applyProtection="1">
      <alignment horizontal="left"/>
      <protection hidden="1"/>
    </xf>
    <xf numFmtId="0" fontId="32" fillId="10" borderId="4" xfId="2" applyFont="1" applyFill="1" applyBorder="1" applyAlignment="1" applyProtection="1">
      <alignment horizontal="center" vertical="center"/>
      <protection hidden="1"/>
    </xf>
    <xf numFmtId="0" fontId="32" fillId="10" borderId="4" xfId="2" applyFont="1" applyFill="1" applyBorder="1" applyAlignment="1" applyProtection="1">
      <alignment horizontal="center"/>
      <protection hidden="1"/>
    </xf>
    <xf numFmtId="0" fontId="32" fillId="10" borderId="6" xfId="2" applyFont="1" applyFill="1" applyBorder="1" applyAlignment="1" applyProtection="1">
      <alignment horizontal="center" vertical="center"/>
      <protection hidden="1"/>
    </xf>
    <xf numFmtId="0" fontId="32" fillId="10" borderId="26" xfId="2" applyFont="1" applyFill="1" applyBorder="1" applyAlignment="1" applyProtection="1">
      <alignment horizontal="center" vertical="center"/>
      <protection hidden="1"/>
    </xf>
    <xf numFmtId="0" fontId="32" fillId="10" borderId="23" xfId="2" applyFont="1" applyFill="1" applyBorder="1" applyAlignment="1" applyProtection="1">
      <alignment horizontal="center" vertical="center"/>
      <protection hidden="1"/>
    </xf>
    <xf numFmtId="0" fontId="13" fillId="5" borderId="24" xfId="0" applyFont="1" applyFill="1" applyBorder="1" applyAlignment="1" applyProtection="1">
      <alignment horizontal="center"/>
      <protection locked="0" hidden="1"/>
    </xf>
    <xf numFmtId="0" fontId="13" fillId="5" borderId="25" xfId="0" applyFont="1" applyFill="1" applyBorder="1" applyAlignment="1" applyProtection="1">
      <alignment horizontal="center"/>
      <protection locked="0" hidden="1"/>
    </xf>
    <xf numFmtId="0" fontId="6" fillId="5" borderId="0" xfId="0" applyFont="1" applyFill="1" applyAlignment="1">
      <alignment horizontal="center"/>
    </xf>
    <xf numFmtId="0" fontId="7" fillId="7" borderId="7" xfId="0" applyFont="1" applyFill="1" applyBorder="1" applyAlignment="1" applyProtection="1">
      <alignment horizontal="center" vertical="center"/>
      <protection hidden="1"/>
    </xf>
    <xf numFmtId="0" fontId="7" fillId="7" borderId="0" xfId="0" applyFont="1" applyFill="1" applyAlignment="1" applyProtection="1">
      <alignment horizontal="center" vertical="center"/>
      <protection hidden="1"/>
    </xf>
    <xf numFmtId="0" fontId="7" fillId="7" borderId="10" xfId="0" applyFont="1" applyFill="1" applyBorder="1" applyAlignment="1" applyProtection="1">
      <alignment horizontal="center" vertical="center"/>
      <protection hidden="1"/>
    </xf>
    <xf numFmtId="0" fontId="29" fillId="10" borderId="4" xfId="0" applyFont="1" applyFill="1" applyBorder="1" applyAlignment="1" applyProtection="1">
      <alignment horizontal="center" vertical="center"/>
      <protection hidden="1"/>
    </xf>
    <xf numFmtId="0" fontId="2" fillId="3" borderId="2" xfId="0" applyFont="1" applyFill="1" applyBorder="1" applyAlignment="1" applyProtection="1">
      <alignment horizontal="center" vertical="center" wrapText="1"/>
      <protection hidden="1"/>
    </xf>
    <xf numFmtId="0" fontId="15" fillId="3" borderId="3" xfId="0" applyFont="1" applyFill="1" applyBorder="1" applyAlignment="1" applyProtection="1">
      <alignment horizontal="center" vertical="center" wrapText="1"/>
      <protection hidden="1"/>
    </xf>
    <xf numFmtId="0" fontId="7" fillId="7" borderId="3" xfId="0" applyFont="1" applyFill="1" applyBorder="1" applyAlignment="1" applyProtection="1">
      <alignment horizontal="center" vertical="center"/>
      <protection hidden="1"/>
    </xf>
    <xf numFmtId="0" fontId="8" fillId="8" borderId="4" xfId="0" applyFont="1" applyFill="1" applyBorder="1" applyAlignment="1" applyProtection="1">
      <alignment horizontal="center"/>
      <protection hidden="1"/>
    </xf>
    <xf numFmtId="0" fontId="23" fillId="10" borderId="27" xfId="2" applyFont="1" applyFill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13" fillId="11" borderId="0" xfId="0" applyFont="1" applyFill="1" applyAlignment="1" applyProtection="1">
      <alignment horizontal="center"/>
      <protection locked="0" hidden="1"/>
    </xf>
    <xf numFmtId="0" fontId="20" fillId="11" borderId="4" xfId="2" applyFont="1" applyFill="1" applyBorder="1" applyAlignment="1" applyProtection="1">
      <alignment horizontal="center"/>
      <protection locked="0"/>
    </xf>
    <xf numFmtId="0" fontId="23" fillId="10" borderId="4" xfId="2" applyFont="1" applyFill="1" applyBorder="1" applyAlignment="1" applyProtection="1">
      <alignment horizontal="center" vertical="center"/>
      <protection hidden="1"/>
    </xf>
    <xf numFmtId="0" fontId="23" fillId="10" borderId="4" xfId="2" applyFont="1" applyFill="1" applyBorder="1" applyAlignment="1" applyProtection="1">
      <alignment horizontal="center"/>
      <protection hidden="1"/>
    </xf>
    <xf numFmtId="0" fontId="23" fillId="10" borderId="6" xfId="2" applyFont="1" applyFill="1" applyBorder="1" applyAlignment="1" applyProtection="1">
      <alignment horizontal="center" vertical="center"/>
      <protection hidden="1"/>
    </xf>
    <xf numFmtId="0" fontId="23" fillId="10" borderId="23" xfId="2" applyFont="1" applyFill="1" applyBorder="1" applyAlignment="1" applyProtection="1">
      <alignment horizontal="center" vertical="center"/>
      <protection hidden="1"/>
    </xf>
    <xf numFmtId="0" fontId="32" fillId="5" borderId="24" xfId="0" applyFont="1" applyFill="1" applyBorder="1" applyAlignment="1" applyProtection="1">
      <alignment horizontal="center" vertical="center"/>
      <protection locked="0"/>
    </xf>
    <xf numFmtId="0" fontId="32" fillId="5" borderId="25" xfId="0" applyFont="1" applyFill="1" applyBorder="1" applyAlignment="1" applyProtection="1">
      <alignment horizontal="center" vertical="center"/>
      <protection locked="0"/>
    </xf>
    <xf numFmtId="0" fontId="6" fillId="4" borderId="4" xfId="0" applyFont="1" applyFill="1" applyBorder="1" applyAlignment="1" applyProtection="1">
      <alignment horizontal="center" vertical="center"/>
      <protection hidden="1"/>
    </xf>
    <xf numFmtId="0" fontId="8" fillId="8" borderId="4" xfId="0" applyFont="1" applyFill="1" applyBorder="1" applyAlignment="1" applyProtection="1">
      <alignment horizontal="center" vertical="center"/>
      <protection hidden="1"/>
    </xf>
    <xf numFmtId="0" fontId="13" fillId="5" borderId="4" xfId="0" applyFont="1" applyFill="1" applyBorder="1" applyAlignment="1" applyProtection="1">
      <alignment horizontal="center"/>
      <protection locked="0"/>
    </xf>
    <xf numFmtId="0" fontId="23" fillId="10" borderId="24" xfId="2" applyFont="1" applyFill="1" applyBorder="1" applyAlignment="1" applyProtection="1">
      <alignment horizontal="center"/>
      <protection hidden="1"/>
    </xf>
    <xf numFmtId="0" fontId="23" fillId="10" borderId="25" xfId="2" applyFont="1" applyFill="1" applyBorder="1" applyAlignment="1" applyProtection="1">
      <alignment horizontal="center"/>
      <protection hidden="1"/>
    </xf>
    <xf numFmtId="0" fontId="42" fillId="10" borderId="7" xfId="2" applyFont="1" applyFill="1" applyBorder="1" applyAlignment="1" applyProtection="1">
      <alignment horizontal="left" vertical="center" wrapText="1"/>
      <protection hidden="1"/>
    </xf>
    <xf numFmtId="0" fontId="42" fillId="10" borderId="0" xfId="2" applyFont="1" applyFill="1" applyAlignment="1" applyProtection="1">
      <alignment horizontal="left" vertical="center" wrapText="1"/>
      <protection hidden="1"/>
    </xf>
    <xf numFmtId="0" fontId="42" fillId="10" borderId="10" xfId="2" applyFont="1" applyFill="1" applyBorder="1" applyAlignment="1" applyProtection="1">
      <alignment horizontal="left" vertical="center" wrapText="1"/>
      <protection hidden="1"/>
    </xf>
    <xf numFmtId="0" fontId="32" fillId="15" borderId="24" xfId="2" applyFont="1" applyFill="1" applyBorder="1" applyAlignment="1" applyProtection="1">
      <alignment horizontal="center"/>
      <protection hidden="1"/>
    </xf>
    <xf numFmtId="0" fontId="32" fillId="15" borderId="34" xfId="2" applyFont="1" applyFill="1" applyBorder="1" applyAlignment="1" applyProtection="1">
      <alignment horizontal="center"/>
      <protection hidden="1"/>
    </xf>
    <xf numFmtId="0" fontId="32" fillId="15" borderId="25" xfId="2" applyFont="1" applyFill="1" applyBorder="1" applyAlignment="1" applyProtection="1">
      <alignment horizontal="center"/>
      <protection hidden="1"/>
    </xf>
    <xf numFmtId="0" fontId="32" fillId="10" borderId="24" xfId="2" applyFont="1" applyFill="1" applyBorder="1" applyAlignment="1" applyProtection="1">
      <alignment horizontal="center"/>
      <protection hidden="1"/>
    </xf>
    <xf numFmtId="0" fontId="32" fillId="10" borderId="25" xfId="2" applyFont="1" applyFill="1" applyBorder="1" applyAlignment="1" applyProtection="1">
      <alignment horizontal="center"/>
      <protection hidden="1"/>
    </xf>
    <xf numFmtId="0" fontId="32" fillId="15" borderId="24" xfId="2" applyFont="1" applyFill="1" applyBorder="1" applyAlignment="1" applyProtection="1">
      <alignment horizontal="center" vertical="center"/>
      <protection hidden="1"/>
    </xf>
    <xf numFmtId="0" fontId="32" fillId="15" borderId="34" xfId="2" applyFont="1" applyFill="1" applyBorder="1" applyAlignment="1" applyProtection="1">
      <alignment horizontal="center" vertical="center"/>
      <protection hidden="1"/>
    </xf>
    <xf numFmtId="0" fontId="32" fillId="15" borderId="25" xfId="2" applyFont="1" applyFill="1" applyBorder="1" applyAlignment="1" applyProtection="1">
      <alignment horizontal="center" vertical="center"/>
      <protection hidden="1"/>
    </xf>
    <xf numFmtId="0" fontId="22" fillId="10" borderId="26" xfId="2" applyFont="1" applyFill="1" applyBorder="1" applyAlignment="1" applyProtection="1">
      <alignment horizontal="center" vertical="center"/>
      <protection hidden="1"/>
    </xf>
    <xf numFmtId="0" fontId="22" fillId="10" borderId="23" xfId="2" applyFont="1" applyFill="1" applyBorder="1" applyAlignment="1" applyProtection="1">
      <alignment horizontal="center" vertical="center"/>
      <protection hidden="1"/>
    </xf>
    <xf numFmtId="0" fontId="32" fillId="10" borderId="29" xfId="2" applyFont="1" applyFill="1" applyBorder="1" applyAlignment="1" applyProtection="1">
      <alignment horizontal="center" vertical="center"/>
      <protection hidden="1"/>
    </xf>
    <xf numFmtId="0" fontId="32" fillId="10" borderId="28" xfId="2" applyFont="1" applyFill="1" applyBorder="1" applyAlignment="1" applyProtection="1">
      <alignment horizontal="center" vertical="center"/>
      <protection hidden="1"/>
    </xf>
    <xf numFmtId="0" fontId="22" fillId="10" borderId="4" xfId="2" applyFont="1" applyFill="1" applyBorder="1" applyAlignment="1" applyProtection="1">
      <alignment horizontal="center" vertical="center"/>
      <protection hidden="1"/>
    </xf>
    <xf numFmtId="0" fontId="43" fillId="14" borderId="2" xfId="0" applyFont="1" applyFill="1" applyBorder="1" applyAlignment="1">
      <alignment horizontal="center" vertical="center" wrapText="1"/>
    </xf>
    <xf numFmtId="0" fontId="43" fillId="14" borderId="9" xfId="0" applyFont="1" applyFill="1" applyBorder="1" applyAlignment="1">
      <alignment horizontal="center" vertical="center" wrapText="1"/>
    </xf>
    <xf numFmtId="0" fontId="43" fillId="14" borderId="33" xfId="0" applyFont="1" applyFill="1" applyBorder="1" applyAlignment="1">
      <alignment horizontal="center" vertical="center" wrapText="1"/>
    </xf>
    <xf numFmtId="0" fontId="43" fillId="14" borderId="32" xfId="0" applyFont="1" applyFill="1" applyBorder="1" applyAlignment="1">
      <alignment horizontal="center" vertical="center" wrapText="1"/>
    </xf>
    <xf numFmtId="0" fontId="43" fillId="14" borderId="12" xfId="0" applyFont="1" applyFill="1" applyBorder="1" applyAlignment="1">
      <alignment horizontal="center" vertical="center" wrapText="1"/>
    </xf>
    <xf numFmtId="0" fontId="15" fillId="7" borderId="7" xfId="0" applyFont="1" applyFill="1" applyBorder="1" applyAlignment="1" applyProtection="1">
      <alignment horizontal="center" vertical="center"/>
      <protection hidden="1"/>
    </xf>
    <xf numFmtId="0" fontId="15" fillId="7" borderId="0" xfId="0" applyFont="1" applyFill="1" applyAlignment="1" applyProtection="1">
      <alignment horizontal="center" vertical="center"/>
      <protection hidden="1"/>
    </xf>
    <xf numFmtId="0" fontId="43" fillId="14" borderId="13" xfId="0" applyFont="1" applyFill="1" applyBorder="1" applyAlignment="1">
      <alignment horizontal="center" vertical="center" wrapText="1"/>
    </xf>
    <xf numFmtId="0" fontId="43" fillId="14" borderId="30" xfId="0" applyFont="1" applyFill="1" applyBorder="1" applyAlignment="1">
      <alignment horizontal="center" vertical="center" wrapText="1"/>
    </xf>
    <xf numFmtId="0" fontId="43" fillId="14" borderId="31" xfId="0" applyFont="1" applyFill="1" applyBorder="1" applyAlignment="1">
      <alignment horizontal="center" vertical="center" wrapText="1"/>
    </xf>
    <xf numFmtId="0" fontId="43" fillId="14" borderId="14" xfId="0" applyFont="1" applyFill="1" applyBorder="1" applyAlignment="1">
      <alignment horizontal="center" vertical="center" wrapText="1"/>
    </xf>
    <xf numFmtId="0" fontId="43" fillId="14" borderId="21" xfId="0" applyFont="1" applyFill="1" applyBorder="1" applyAlignment="1">
      <alignment horizontal="center" vertical="center" wrapText="1"/>
    </xf>
    <xf numFmtId="0" fontId="43" fillId="14" borderId="11" xfId="0" applyFont="1" applyFill="1" applyBorder="1" applyAlignment="1">
      <alignment horizontal="center" vertical="center" wrapText="1"/>
    </xf>
    <xf numFmtId="0" fontId="25" fillId="7" borderId="7" xfId="0" applyFont="1" applyFill="1" applyBorder="1" applyAlignment="1" applyProtection="1">
      <alignment horizontal="center" vertical="center"/>
      <protection hidden="1"/>
    </xf>
    <xf numFmtId="166" fontId="26" fillId="0" borderId="0" xfId="0" applyNumberFormat="1" applyFont="1" applyAlignment="1">
      <alignment horizontal="center" vertical="center"/>
    </xf>
    <xf numFmtId="0" fontId="13" fillId="0" borderId="24" xfId="0" applyFont="1" applyBorder="1" applyAlignment="1">
      <alignment horizontal="left"/>
    </xf>
    <xf numFmtId="0" fontId="13" fillId="0" borderId="34" xfId="0" applyFont="1" applyBorder="1" applyAlignment="1">
      <alignment horizontal="left"/>
    </xf>
    <xf numFmtId="0" fontId="13" fillId="0" borderId="25" xfId="0" applyFont="1" applyBorder="1" applyAlignment="1">
      <alignment horizontal="left"/>
    </xf>
    <xf numFmtId="0" fontId="56" fillId="0" borderId="24" xfId="0" applyFont="1" applyBorder="1" applyAlignment="1">
      <alignment horizontal="left"/>
    </xf>
    <xf numFmtId="0" fontId="56" fillId="0" borderId="34" xfId="0" applyFont="1" applyBorder="1" applyAlignment="1">
      <alignment horizontal="left"/>
    </xf>
    <xf numFmtId="0" fontId="56" fillId="0" borderId="25" xfId="0" applyFont="1" applyBorder="1" applyAlignment="1">
      <alignment horizontal="left"/>
    </xf>
    <xf numFmtId="0" fontId="26" fillId="0" borderId="0" xfId="0" applyFont="1" applyAlignment="1">
      <alignment horizontal="left" vertical="center"/>
    </xf>
    <xf numFmtId="0" fontId="54" fillId="0" borderId="0" xfId="0" applyFont="1" applyAlignment="1">
      <alignment horizontal="left" wrapText="1"/>
    </xf>
    <xf numFmtId="0" fontId="54" fillId="0" borderId="22" xfId="0" applyFont="1" applyBorder="1" applyAlignment="1">
      <alignment horizontal="left" wrapText="1"/>
    </xf>
    <xf numFmtId="0" fontId="25" fillId="7" borderId="0" xfId="0" applyFont="1" applyFill="1" applyAlignment="1" applyProtection="1">
      <alignment horizontal="center" vertical="center"/>
      <protection hidden="1"/>
    </xf>
    <xf numFmtId="0" fontId="25" fillId="7" borderId="10" xfId="0" applyFont="1" applyFill="1" applyBorder="1" applyAlignment="1" applyProtection="1">
      <alignment horizontal="center" vertical="center"/>
      <protection hidden="1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39" fillId="0" borderId="7" xfId="0" applyFont="1" applyBorder="1" applyAlignment="1">
      <alignment horizontal="left" wrapText="1"/>
    </xf>
    <xf numFmtId="0" fontId="39" fillId="0" borderId="0" xfId="0" applyFont="1" applyAlignment="1">
      <alignment horizontal="left" wrapText="1"/>
    </xf>
    <xf numFmtId="0" fontId="22" fillId="0" borderId="24" xfId="0" applyFont="1" applyBorder="1" applyAlignment="1">
      <alignment horizontal="center"/>
    </xf>
    <xf numFmtId="0" fontId="22" fillId="0" borderId="34" xfId="0" applyFont="1" applyBorder="1" applyAlignment="1">
      <alignment horizontal="center"/>
    </xf>
    <xf numFmtId="0" fontId="22" fillId="0" borderId="25" xfId="0" applyFont="1" applyBorder="1" applyAlignment="1">
      <alignment horizontal="center"/>
    </xf>
    <xf numFmtId="0" fontId="47" fillId="0" borderId="24" xfId="0" applyFont="1" applyBorder="1" applyAlignment="1">
      <alignment horizontal="center"/>
    </xf>
    <xf numFmtId="0" fontId="47" fillId="0" borderId="34" xfId="0" applyFont="1" applyBorder="1" applyAlignment="1">
      <alignment horizontal="center"/>
    </xf>
    <xf numFmtId="0" fontId="47" fillId="0" borderId="25" xfId="0" applyFont="1" applyBorder="1" applyAlignment="1">
      <alignment horizontal="center"/>
    </xf>
    <xf numFmtId="0" fontId="52" fillId="0" borderId="0" xfId="0" applyFont="1" applyAlignment="1">
      <alignment horizontal="right"/>
    </xf>
    <xf numFmtId="0" fontId="52" fillId="0" borderId="27" xfId="0" applyFont="1" applyBorder="1" applyAlignment="1">
      <alignment horizontal="right"/>
    </xf>
    <xf numFmtId="0" fontId="66" fillId="0" borderId="24" xfId="0" applyFont="1" applyBorder="1" applyAlignment="1">
      <alignment horizontal="center"/>
    </xf>
    <xf numFmtId="0" fontId="66" fillId="0" borderId="34" xfId="0" applyFont="1" applyBorder="1" applyAlignment="1">
      <alignment horizontal="center"/>
    </xf>
    <xf numFmtId="0" fontId="66" fillId="0" borderId="25" xfId="0" applyFont="1" applyBorder="1" applyAlignment="1">
      <alignment horizontal="center"/>
    </xf>
    <xf numFmtId="0" fontId="26" fillId="0" borderId="24" xfId="0" applyFont="1" applyBorder="1" applyAlignment="1">
      <alignment horizontal="center"/>
    </xf>
    <xf numFmtId="0" fontId="26" fillId="0" borderId="34" xfId="0" applyFont="1" applyBorder="1" applyAlignment="1">
      <alignment horizontal="center"/>
    </xf>
    <xf numFmtId="0" fontId="26" fillId="0" borderId="25" xfId="0" applyFont="1" applyBorder="1" applyAlignment="1">
      <alignment horizontal="center"/>
    </xf>
    <xf numFmtId="0" fontId="65" fillId="0" borderId="24" xfId="0" applyFont="1" applyBorder="1" applyAlignment="1">
      <alignment horizontal="center"/>
    </xf>
    <xf numFmtId="0" fontId="65" fillId="0" borderId="34" xfId="0" applyFont="1" applyBorder="1" applyAlignment="1">
      <alignment horizontal="center"/>
    </xf>
    <xf numFmtId="0" fontId="65" fillId="0" borderId="25" xfId="0" applyFont="1" applyBorder="1" applyAlignment="1">
      <alignment horizontal="center"/>
    </xf>
    <xf numFmtId="0" fontId="67" fillId="0" borderId="24" xfId="0" applyFont="1" applyBorder="1" applyAlignment="1">
      <alignment horizontal="center"/>
    </xf>
    <xf numFmtId="0" fontId="67" fillId="0" borderId="34" xfId="0" applyFont="1" applyBorder="1" applyAlignment="1">
      <alignment horizontal="center"/>
    </xf>
    <xf numFmtId="0" fontId="67" fillId="0" borderId="25" xfId="0" applyFont="1" applyBorder="1" applyAlignment="1">
      <alignment horizontal="center"/>
    </xf>
    <xf numFmtId="0" fontId="76" fillId="0" borderId="24" xfId="0" applyFont="1" applyBorder="1" applyAlignment="1">
      <alignment horizontal="center"/>
    </xf>
    <xf numFmtId="0" fontId="76" fillId="0" borderId="34" xfId="0" applyFont="1" applyBorder="1" applyAlignment="1">
      <alignment horizontal="center"/>
    </xf>
    <xf numFmtId="0" fontId="76" fillId="0" borderId="25" xfId="0" applyFont="1" applyBorder="1" applyAlignment="1">
      <alignment horizontal="center"/>
    </xf>
  </cellXfs>
  <cellStyles count="3">
    <cellStyle name="Explanatory Text" xfId="1" builtinId="53" customBuiltin="1"/>
    <cellStyle name="Normal" xfId="0" builtinId="0"/>
    <cellStyle name="Normal 2" xfId="2" xr:uid="{808B796B-22E6-492E-B07D-7C6AE1C05418}"/>
  </cellStyles>
  <dxfs count="16">
    <dxf>
      <fill>
        <patternFill>
          <bgColor rgb="FFFF0000"/>
        </patternFill>
      </fill>
    </dxf>
    <dxf>
      <fill>
        <patternFill>
          <bgColor rgb="FFFF7C8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F7F7F"/>
      <rgbColor rgb="FF9999FF"/>
      <rgbColor rgb="FF993366"/>
      <rgbColor rgb="FFF2F2F2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F3F76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7C80"/>
      <color rgb="FF00FF00"/>
      <color rgb="FF00CC00"/>
      <color rgb="FFCCFFCC"/>
      <color rgb="FFCCECFF"/>
      <color rgb="FFFFFFCC"/>
      <color rgb="FF99FF99"/>
      <color rgb="FFCC00CC"/>
      <color rgb="FFCC66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en-US" sz="2000" baseline="0"/>
              <a:t>Bode Plot</a:t>
            </a:r>
            <a:endParaRPr lang="en-US" sz="2000"/>
          </a:p>
        </c:rich>
      </c:tx>
      <c:layout>
        <c:manualLayout>
          <c:xMode val="edge"/>
          <c:yMode val="edge"/>
          <c:x val="0.41174987142661063"/>
          <c:y val="2.0704538141450485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8.3135029895724633E-2"/>
          <c:y val="0.1006697914780629"/>
          <c:w val="0.83405626580984149"/>
          <c:h val="0.79445533402028046"/>
        </c:manualLayout>
      </c:layout>
      <c:scatterChart>
        <c:scatterStyle val="smoothMarker"/>
        <c:varyColors val="0"/>
        <c:ser>
          <c:idx val="0"/>
          <c:order val="0"/>
          <c:tx>
            <c:v>Gain_Actual (dB)</c:v>
          </c:tx>
          <c:spPr>
            <a:ln w="25400">
              <a:solidFill>
                <a:srgbClr val="0000FF"/>
              </a:solidFill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Bode_Plot!$AP$50:$AP$177</c:f>
              <c:numCache>
                <c:formatCode>0.0</c:formatCode>
                <c:ptCount val="128"/>
                <c:pt idx="0">
                  <c:v>90.33918900549213</c:v>
                </c:pt>
                <c:pt idx="1">
                  <c:v>76.339062080488162</c:v>
                </c:pt>
                <c:pt idx="2">
                  <c:v>70.338668045590509</c:v>
                </c:pt>
                <c:pt idx="3">
                  <c:v>69.538561617853972</c:v>
                </c:pt>
                <c:pt idx="4">
                  <c:v>68.738433667291602</c:v>
                </c:pt>
                <c:pt idx="5">
                  <c:v>67.938279842258282</c:v>
                </c:pt>
                <c:pt idx="6">
                  <c:v>67.138094911663316</c:v>
                </c:pt>
                <c:pt idx="7">
                  <c:v>66.337872587418701</c:v>
                </c:pt>
                <c:pt idx="8">
                  <c:v>65.537605311120842</c:v>
                </c:pt>
                <c:pt idx="9">
                  <c:v>64.737283997796283</c:v>
                </c:pt>
                <c:pt idx="10">
                  <c:v>63.936897728122418</c:v>
                </c:pt>
                <c:pt idx="11">
                  <c:v>63.136433378835022</c:v>
                </c:pt>
                <c:pt idx="12">
                  <c:v>62.335875179017528</c:v>
                </c:pt>
                <c:pt idx="13">
                  <c:v>61.535204177561916</c:v>
                </c:pt>
                <c:pt idx="14">
                  <c:v>60.734397604243767</c:v>
                </c:pt>
                <c:pt idx="15">
                  <c:v>59.933428103479464</c:v>
                </c:pt>
                <c:pt idx="16">
                  <c:v>59.132262815864507</c:v>
                </c:pt>
                <c:pt idx="17">
                  <c:v>58.33086227792591</c:v>
                </c:pt>
                <c:pt idx="18">
                  <c:v>57.529179105082378</c:v>
                </c:pt>
                <c:pt idx="19">
                  <c:v>56.727156416498076</c:v>
                </c:pt>
                <c:pt idx="20">
                  <c:v>55.924725953273686</c:v>
                </c:pt>
                <c:pt idx="21">
                  <c:v>55.121805833187935</c:v>
                </c:pt>
                <c:pt idx="22">
                  <c:v>54.318297876001907</c:v>
                </c:pt>
                <c:pt idx="23">
                  <c:v>53.514084423246857</c:v>
                </c:pt>
                <c:pt idx="24">
                  <c:v>52.709024565674383</c:v>
                </c:pt>
                <c:pt idx="25">
                  <c:v>51.902949680582807</c:v>
                </c:pt>
                <c:pt idx="26">
                  <c:v>51.095658170793641</c:v>
                </c:pt>
                <c:pt idx="27">
                  <c:v>50.286909288326612</c:v>
                </c:pt>
                <c:pt idx="28">
                  <c:v>49.476415920615523</c:v>
                </c:pt>
                <c:pt idx="29">
                  <c:v>48.663836218106546</c:v>
                </c:pt>
                <c:pt idx="30">
                  <c:v>47.848763953083555</c:v>
                </c:pt>
                <c:pt idx="31">
                  <c:v>47.030717525874749</c:v>
                </c:pt>
                <c:pt idx="32">
                  <c:v>46.209127583292386</c:v>
                </c:pt>
                <c:pt idx="33">
                  <c:v>45.383323294419768</c:v>
                </c:pt>
                <c:pt idx="34">
                  <c:v>44.552517451969692</c:v>
                </c:pt>
                <c:pt idx="35">
                  <c:v>43.715790746425242</c:v>
                </c:pt>
                <c:pt idx="36">
                  <c:v>42.872075808561732</c:v>
                </c:pt>
                <c:pt idx="37">
                  <c:v>42.020141945232197</c:v>
                </c:pt>
                <c:pt idx="38">
                  <c:v>41.158581908435764</c:v>
                </c:pt>
                <c:pt idx="39">
                  <c:v>40.28580253012904</c:v>
                </c:pt>
                <c:pt idx="40">
                  <c:v>39.400021593284677</c:v>
                </c:pt>
                <c:pt idx="41">
                  <c:v>38.49927382717302</c:v>
                </c:pt>
                <c:pt idx="42">
                  <c:v>37.581429300727784</c:v>
                </c:pt>
                <c:pt idx="43">
                  <c:v>36.64422758272196</c:v>
                </c:pt>
                <c:pt idx="44">
                  <c:v>35.685330644957354</c:v>
                </c:pt>
                <c:pt idx="45">
                  <c:v>34.702396407963228</c:v>
                </c:pt>
                <c:pt idx="46">
                  <c:v>33.69317293783682</c:v>
                </c:pt>
                <c:pt idx="47">
                  <c:v>32.655610626701467</c:v>
                </c:pt>
                <c:pt idx="48">
                  <c:v>31.587986505307192</c:v>
                </c:pt>
                <c:pt idx="49">
                  <c:v>30.489031709546936</c:v>
                </c:pt>
                <c:pt idx="50">
                  <c:v>29.358050837972904</c:v>
                </c:pt>
                <c:pt idx="51">
                  <c:v>28.195021297623398</c:v>
                </c:pt>
                <c:pt idx="52">
                  <c:v>27.000662264401893</c:v>
                </c:pt>
                <c:pt idx="53">
                  <c:v>25.776466551144491</c:v>
                </c:pt>
                <c:pt idx="54">
                  <c:v>24.524693792283763</c:v>
                </c:pt>
                <c:pt idx="55">
                  <c:v>23.248328731761404</c:v>
                </c:pt>
                <c:pt idx="56">
                  <c:v>21.951012739879868</c:v>
                </c:pt>
                <c:pt idx="57">
                  <c:v>20.636959008648667</c:v>
                </c:pt>
                <c:pt idx="58">
                  <c:v>19.310861822064794</c:v>
                </c:pt>
                <c:pt idx="59">
                  <c:v>17.977808150366229</c:v>
                </c:pt>
                <c:pt idx="60">
                  <c:v>16.643196302940058</c:v>
                </c:pt>
                <c:pt idx="61">
                  <c:v>15.312662368760217</c:v>
                </c:pt>
                <c:pt idx="62">
                  <c:v>13.992011449431189</c:v>
                </c:pt>
                <c:pt idx="63">
                  <c:v>12.687147795250088</c:v>
                </c:pt>
                <c:pt idx="64">
                  <c:v>11.403996212303829</c:v>
                </c:pt>
                <c:pt idx="65">
                  <c:v>10.148406694660729</c:v>
                </c:pt>
                <c:pt idx="66">
                  <c:v>8.926035263820852</c:v>
                </c:pt>
                <c:pt idx="67">
                  <c:v>7.7421965522841818</c:v>
                </c:pt>
                <c:pt idx="68">
                  <c:v>6.6016877528429436</c:v>
                </c:pt>
                <c:pt idx="69">
                  <c:v>5.508588958019077</c:v>
                </c:pt>
                <c:pt idx="70">
                  <c:v>4.4660510474218631</c:v>
                </c:pt>
                <c:pt idx="71">
                  <c:v>3.4760881027021884</c:v>
                </c:pt>
                <c:pt idx="72">
                  <c:v>2.5393954615838776</c:v>
                </c:pt>
                <c:pt idx="73">
                  <c:v>1.6552156054455394</c:v>
                </c:pt>
                <c:pt idx="74">
                  <c:v>0.82127126878752343</c:v>
                </c:pt>
                <c:pt idx="75">
                  <c:v>3.3778556878547666E-2</c:v>
                </c:pt>
                <c:pt idx="76">
                  <c:v>-0.71245641835457019</c:v>
                </c:pt>
                <c:pt idx="77">
                  <c:v>-1.4238639951987042</c:v>
                </c:pt>
                <c:pt idx="78">
                  <c:v>-2.1078761604113945</c:v>
                </c:pt>
                <c:pt idx="79">
                  <c:v>-2.7726526698741139</c:v>
                </c:pt>
                <c:pt idx="80">
                  <c:v>-3.4267937040912191</c:v>
                </c:pt>
                <c:pt idx="81">
                  <c:v>-4.079065156339329</c:v>
                </c:pt>
                <c:pt idx="82">
                  <c:v>-4.738160743315051</c:v>
                </c:pt>
                <c:pt idx="83">
                  <c:v>-5.4125214017700056</c:v>
                </c:pt>
                <c:pt idx="84">
                  <c:v>-6.1102273127946365</c:v>
                </c:pt>
                <c:pt idx="85">
                  <c:v>-6.8389717378246644</c:v>
                </c:pt>
                <c:pt idx="86">
                  <c:v>-7.6061191812071369</c:v>
                </c:pt>
                <c:pt idx="87">
                  <c:v>-8.418844057113354</c:v>
                </c:pt>
                <c:pt idx="88">
                  <c:v>-9.2843411319569729</c:v>
                </c:pt>
                <c:pt idx="89">
                  <c:v>-10.210096611299557</c:v>
                </c:pt>
                <c:pt idx="90">
                  <c:v>-11.204209531819938</c:v>
                </c:pt>
                <c:pt idx="91">
                  <c:v>-12.275757069156805</c:v>
                </c:pt>
                <c:pt idx="92">
                  <c:v>-13.435203266962406</c:v>
                </c:pt>
                <c:pt idx="93">
                  <c:v>-14.694854904910448</c:v>
                </c:pt>
                <c:pt idx="94">
                  <c:v>-16.069360809708549</c:v>
                </c:pt>
                <c:pt idx="95">
                  <c:v>-17.576203598323126</c:v>
                </c:pt>
                <c:pt idx="96">
                  <c:v>-19.235962183954751</c:v>
                </c:pt>
                <c:pt idx="97">
                  <c:v>-21.071575771223849</c:v>
                </c:pt>
                <c:pt idx="98">
                  <c:v>-23.104133176727828</c:v>
                </c:pt>
                <c:pt idx="99">
                  <c:v>-25.337527441975951</c:v>
                </c:pt>
                <c:pt idx="100">
                  <c:v>-27.710466006549655</c:v>
                </c:pt>
                <c:pt idx="101">
                  <c:v>-29.97703607479739</c:v>
                </c:pt>
                <c:pt idx="102">
                  <c:v>-31.582577127768928</c:v>
                </c:pt>
                <c:pt idx="103">
                  <c:v>-32.023311183386966</c:v>
                </c:pt>
                <c:pt idx="104">
                  <c:v>-31.552715538227503</c:v>
                </c:pt>
                <c:pt idx="105">
                  <c:v>-30.792010855775001</c:v>
                </c:pt>
                <c:pt idx="106">
                  <c:v>-30.101190289732472</c:v>
                </c:pt>
                <c:pt idx="107">
                  <c:v>-29.592397314810306</c:v>
                </c:pt>
                <c:pt idx="108">
                  <c:v>-29.27661350798763</c:v>
                </c:pt>
                <c:pt idx="109">
                  <c:v>-29.134907475928085</c:v>
                </c:pt>
                <c:pt idx="110">
                  <c:v>-29.142724570737727</c:v>
                </c:pt>
                <c:pt idx="111">
                  <c:v>-29.277006594481236</c:v>
                </c:pt>
                <c:pt idx="112">
                  <c:v>-29.517814781328426</c:v>
                </c:pt>
                <c:pt idx="113">
                  <c:v>-29.848324418405369</c:v>
                </c:pt>
                <c:pt idx="114">
                  <c:v>-30.254415876482931</c:v>
                </c:pt>
                <c:pt idx="115">
                  <c:v>-30.724231034879285</c:v>
                </c:pt>
                <c:pt idx="116">
                  <c:v>-31.247790446287485</c:v>
                </c:pt>
                <c:pt idx="117">
                  <c:v>-31.816682562857871</c:v>
                </c:pt>
                <c:pt idx="118">
                  <c:v>-32.423814114616619</c:v>
                </c:pt>
                <c:pt idx="119">
                  <c:v>-33.063207897237341</c:v>
                </c:pt>
                <c:pt idx="120">
                  <c:v>-33.729836636896962</c:v>
                </c:pt>
                <c:pt idx="121">
                  <c:v>-34.419484697505787</c:v>
                </c:pt>
                <c:pt idx="122">
                  <c:v>-35.128631913225391</c:v>
                </c:pt>
                <c:pt idx="123">
                  <c:v>-35.854355592955656</c:v>
                </c:pt>
                <c:pt idx="124">
                  <c:v>-36.594247894789675</c:v>
                </c:pt>
                <c:pt idx="125">
                  <c:v>-37.346346496287872</c:v>
                </c:pt>
                <c:pt idx="126">
                  <c:v>-38.109076946297279</c:v>
                </c:pt>
                <c:pt idx="127">
                  <c:v>-38.881205383487206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AD-4611-8B34-87B698A7264B}"/>
            </c:ext>
          </c:extLst>
        </c:ser>
        <c:ser>
          <c:idx val="2"/>
          <c:order val="2"/>
          <c:tx>
            <c:v>Gain_Recommended (dB)</c:v>
          </c:tx>
          <c:spPr>
            <a:ln w="25400">
              <a:solidFill>
                <a:schemeClr val="accent1"/>
              </a:solidFill>
              <a:prstDash val="sysDash"/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Bode_Plot!$BG$50:$BG$177</c:f>
              <c:numCache>
                <c:formatCode>0.0</c:formatCode>
                <c:ptCount val="128"/>
                <c:pt idx="0">
                  <c:v>84.702823140302982</c:v>
                </c:pt>
                <c:pt idx="1">
                  <c:v>70.70270735320824</c:v>
                </c:pt>
                <c:pt idx="2">
                  <c:v>64.70234789762786</c:v>
                </c:pt>
                <c:pt idx="3">
                  <c:v>63.90225081019058</c:v>
                </c:pt>
                <c:pt idx="4">
                  <c:v>63.102134089104986</c:v>
                </c:pt>
                <c:pt idx="5">
                  <c:v>62.301993764824502</c:v>
                </c:pt>
                <c:pt idx="6">
                  <c:v>61.501825065635707</c:v>
                </c:pt>
                <c:pt idx="7">
                  <c:v>60.701622255733824</c:v>
                </c:pt>
                <c:pt idx="8">
                  <c:v>59.901378440692383</c:v>
                </c:pt>
                <c:pt idx="9">
                  <c:v>59.101085333794018</c:v>
                </c:pt>
                <c:pt idx="10">
                  <c:v>58.300732975402703</c:v>
                </c:pt>
                <c:pt idx="11">
                  <c:v>57.500309396009698</c:v>
                </c:pt>
                <c:pt idx="12">
                  <c:v>56.699800211758273</c:v>
                </c:pt>
                <c:pt idx="13">
                  <c:v>55.899188139066915</c:v>
                </c:pt>
                <c:pt idx="14">
                  <c:v>55.098452412394145</c:v>
                </c:pt>
                <c:pt idx="15">
                  <c:v>54.297568086135577</c:v>
                </c:pt>
                <c:pt idx="16">
                  <c:v>53.496505198058806</c:v>
                </c:pt>
                <c:pt idx="17">
                  <c:v>52.695227767481484</c:v>
                </c:pt>
                <c:pt idx="18">
                  <c:v>51.893692596514065</c:v>
                </c:pt>
                <c:pt idx="19">
                  <c:v>51.091847837045918</c:v>
                </c:pt>
                <c:pt idx="20">
                  <c:v>50.289631279708438</c:v>
                </c:pt>
                <c:pt idx="21">
                  <c:v>49.486968313775215</c:v>
                </c:pt>
                <c:pt idx="22">
                  <c:v>48.683769498895863</c:v>
                </c:pt>
                <c:pt idx="23">
                  <c:v>47.879927680831891</c:v>
                </c:pt>
                <c:pt idx="24">
                  <c:v>47.075314574246107</c:v>
                </c:pt>
                <c:pt idx="25">
                  <c:v>46.269776726562178</c:v>
                </c:pt>
                <c:pt idx="26">
                  <c:v>45.463130768768067</c:v>
                </c:pt>
                <c:pt idx="27">
                  <c:v>44.655157853028058</c:v>
                </c:pt>
                <c:pt idx="28">
                  <c:v>43.845597174973307</c:v>
                </c:pt>
                <c:pt idx="29">
                  <c:v>43.0341384833104</c:v>
                </c:pt>
                <c:pt idx="30">
                  <c:v>42.220413494808511</c:v>
                </c:pt>
                <c:pt idx="31">
                  <c:v>41.403986164161743</c:v>
                </c:pt>
                <c:pt idx="32">
                  <c:v>40.584341812845508</c:v>
                </c:pt>
                <c:pt idx="33">
                  <c:v>39.760875208094944</c:v>
                </c:pt>
                <c:pt idx="34">
                  <c:v>38.932877813854198</c:v>
                </c:pt>
                <c:pt idx="35">
                  <c:v>38.099524622930801</c:v>
                </c:pt>
                <c:pt idx="36">
                  <c:v>37.259861237038628</c:v>
                </c:pt>
                <c:pt idx="37">
                  <c:v>36.412792200096121</c:v>
                </c:pt>
                <c:pt idx="38">
                  <c:v>35.557072014478791</c:v>
                </c:pt>
                <c:pt idx="39">
                  <c:v>34.691300770469375</c:v>
                </c:pt>
                <c:pt idx="40">
                  <c:v>33.813926862792343</c:v>
                </c:pt>
                <c:pt idx="41">
                  <c:v>32.923259786577944</c:v>
                </c:pt>
                <c:pt idx="42">
                  <c:v>32.017496384273585</c:v>
                </c:pt>
                <c:pt idx="43">
                  <c:v>31.094763991055679</c:v>
                </c:pt>
                <c:pt idx="44">
                  <c:v>30.153183496723003</c:v>
                </c:pt>
                <c:pt idx="45">
                  <c:v>29.190954201814925</c:v>
                </c:pt>
                <c:pt idx="46">
                  <c:v>28.206460354088783</c:v>
                </c:pt>
                <c:pt idx="47">
                  <c:v>27.198396423916847</c:v>
                </c:pt>
                <c:pt idx="48">
                  <c:v>26.165904775310857</c:v>
                </c:pt>
                <c:pt idx="49">
                  <c:v>25.10871596106481</c:v>
                </c:pt>
                <c:pt idx="50">
                  <c:v>24.027279185226895</c:v>
                </c:pt>
                <c:pt idx="51">
                  <c:v>22.922869327533839</c:v>
                </c:pt>
                <c:pt idx="52">
                  <c:v>21.797657842163606</c:v>
                </c:pt>
                <c:pt idx="53">
                  <c:v>20.654737829342533</c:v>
                </c:pt>
                <c:pt idx="54">
                  <c:v>19.498098019949776</c:v>
                </c:pt>
                <c:pt idx="55">
                  <c:v>18.332545259877598</c:v>
                </c:pt>
                <c:pt idx="56">
                  <c:v>17.163579241600647</c:v>
                </c:pt>
                <c:pt idx="57">
                  <c:v>15.997226008936954</c:v>
                </c:pt>
                <c:pt idx="58">
                  <c:v>14.839838112640473</c:v>
                </c:pt>
                <c:pt idx="59">
                  <c:v>13.697869775478519</c:v>
                </c:pt>
                <c:pt idx="60">
                  <c:v>12.577635860095356</c:v>
                </c:pt>
                <c:pt idx="61">
                  <c:v>11.485064451598639</c:v>
                </c:pt>
                <c:pt idx="62">
                  <c:v>10.425454517767232</c:v>
                </c:pt>
                <c:pt idx="63">
                  <c:v>9.4032517228291912</c:v>
                </c:pt>
                <c:pt idx="64">
                  <c:v>8.4218558700854711</c:v>
                </c:pt>
                <c:pt idx="65">
                  <c:v>7.4834714879291511</c:v>
                </c:pt>
                <c:pt idx="66">
                  <c:v>6.5890083046785097</c:v>
                </c:pt>
                <c:pt idx="67">
                  <c:v>5.7380315062373954</c:v>
                </c:pt>
                <c:pt idx="68">
                  <c:v>4.9287545970097693</c:v>
                </c:pt>
                <c:pt idx="69">
                  <c:v>4.158062717612057</c:v>
                </c:pt>
                <c:pt idx="70">
                  <c:v>3.4215531793865162</c:v>
                </c:pt>
                <c:pt idx="71">
                  <c:v>2.7135831036765841</c:v>
                </c:pt>
                <c:pt idx="72">
                  <c:v>2.0273201520267099</c:v>
                </c:pt>
                <c:pt idx="73">
                  <c:v>1.3547991598052604</c:v>
                </c:pt>
                <c:pt idx="74">
                  <c:v>0.68699284099663727</c:v>
                </c:pt>
                <c:pt idx="75">
                  <c:v>1.3907321090960286E-2</c:v>
                </c:pt>
                <c:pt idx="76">
                  <c:v>-0.67528705707281766</c:v>
                </c:pt>
                <c:pt idx="77">
                  <c:v>-1.3920817665968197</c:v>
                </c:pt>
                <c:pt idx="78">
                  <c:v>-2.148409082015053</c:v>
                </c:pt>
                <c:pt idx="79">
                  <c:v>-2.9563751161435552</c:v>
                </c:pt>
                <c:pt idx="80">
                  <c:v>-3.8279539258243078</c:v>
                </c:pt>
                <c:pt idx="81">
                  <c:v>-4.7746565753878585</c:v>
                </c:pt>
                <c:pt idx="82">
                  <c:v>-5.8071964825296565</c:v>
                </c:pt>
                <c:pt idx="83">
                  <c:v>-6.9351792582019121</c:v>
                </c:pt>
                <c:pt idx="84">
                  <c:v>-8.1668498352506127</c:v>
                </c:pt>
                <c:pt idx="85">
                  <c:v>-9.5089300977274185</c:v>
                </c:pt>
                <c:pt idx="86">
                  <c:v>-10.966575311049343</c:v>
                </c:pt>
                <c:pt idx="87">
                  <c:v>-12.543467671186194</c:v>
                </c:pt>
                <c:pt idx="88">
                  <c:v>-14.242052171276164</c:v>
                </c:pt>
                <c:pt idx="89">
                  <c:v>-16.063906902291549</c:v>
                </c:pt>
                <c:pt idx="90">
                  <c:v>-18.010230264877528</c:v>
                </c:pt>
                <c:pt idx="91">
                  <c:v>-20.082423744802071</c:v>
                </c:pt>
                <c:pt idx="92">
                  <c:v>-22.282750998608677</c:v>
                </c:pt>
                <c:pt idx="93">
                  <c:v>-24.615058308165207</c:v>
                </c:pt>
                <c:pt idx="94">
                  <c:v>-27.08553684084594</c:v>
                </c:pt>
                <c:pt idx="95">
                  <c:v>-29.703463615584699</c:v>
                </c:pt>
                <c:pt idx="96">
                  <c:v>-32.481690678218442</c:v>
                </c:pt>
                <c:pt idx="97">
                  <c:v>-35.436106325812858</c:v>
                </c:pt>
                <c:pt idx="98">
                  <c:v>-38.581586001678325</c:v>
                </c:pt>
                <c:pt idx="99">
                  <c:v>-41.916766757658351</c:v>
                </c:pt>
                <c:pt idx="100">
                  <c:v>-45.3761301144879</c:v>
                </c:pt>
                <c:pt idx="101">
                  <c:v>-48.710589446211699</c:v>
                </c:pt>
                <c:pt idx="102">
                  <c:v>-51.363333772050765</c:v>
                </c:pt>
                <c:pt idx="103">
                  <c:v>-52.829382936973168</c:v>
                </c:pt>
                <c:pt idx="104">
                  <c:v>-53.361847727700081</c:v>
                </c:pt>
                <c:pt idx="105">
                  <c:v>-53.582279909686818</c:v>
                </c:pt>
                <c:pt idx="106">
                  <c:v>-53.851551398207278</c:v>
                </c:pt>
                <c:pt idx="107">
                  <c:v>-54.283083079302614</c:v>
                </c:pt>
                <c:pt idx="108">
                  <c:v>-54.88939499551843</c:v>
                </c:pt>
                <c:pt idx="109">
                  <c:v>-55.653236244706918</c:v>
                </c:pt>
                <c:pt idx="110">
                  <c:v>-56.551777912884226</c:v>
                </c:pt>
                <c:pt idx="111">
                  <c:v>-57.563658907030899</c:v>
                </c:pt>
                <c:pt idx="112">
                  <c:v>-58.67055642490503</c:v>
                </c:pt>
                <c:pt idx="113">
                  <c:v>-59.857146522224944</c:v>
                </c:pt>
                <c:pt idx="114">
                  <c:v>-61.110676057739617</c:v>
                </c:pt>
                <c:pt idx="115">
                  <c:v>-62.420511482775332</c:v>
                </c:pt>
                <c:pt idx="116">
                  <c:v>-63.777756630310009</c:v>
                </c:pt>
                <c:pt idx="117">
                  <c:v>-65.174948139152036</c:v>
                </c:pt>
                <c:pt idx="118">
                  <c:v>-66.605815473503313</c:v>
                </c:pt>
                <c:pt idx="119">
                  <c:v>-68.065090189315512</c:v>
                </c:pt>
                <c:pt idx="120">
                  <c:v>-69.548351963585432</c:v>
                </c:pt>
                <c:pt idx="121">
                  <c:v>-71.051902368468674</c:v>
                </c:pt>
                <c:pt idx="122">
                  <c:v>-72.572660173598379</c:v>
                </c:pt>
                <c:pt idx="123">
                  <c:v>-74.108073933395303</c:v>
                </c:pt>
                <c:pt idx="124">
                  <c:v>-75.65604891604336</c:v>
                </c:pt>
                <c:pt idx="125">
                  <c:v>-77.214886259546574</c:v>
                </c:pt>
                <c:pt idx="126">
                  <c:v>-78.783232765257139</c:v>
                </c:pt>
                <c:pt idx="127">
                  <c:v>-80.360040077911506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AD-4611-8B34-87B698A726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192640"/>
        <c:axId val="104665856"/>
      </c:scatterChart>
      <c:scatterChart>
        <c:scatterStyle val="smoothMarker"/>
        <c:varyColors val="0"/>
        <c:ser>
          <c:idx val="1"/>
          <c:order val="1"/>
          <c:tx>
            <c:v>Phase_Actual (deg)</c:v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Bode_Plot!$AR$50:$AR$177</c:f>
              <c:numCache>
                <c:formatCode>General</c:formatCode>
                <c:ptCount val="128"/>
                <c:pt idx="0">
                  <c:v>89.949426494883468</c:v>
                </c:pt>
                <c:pt idx="1">
                  <c:v>89.746535288685763</c:v>
                </c:pt>
                <c:pt idx="2">
                  <c:v>89.494291481993741</c:v>
                </c:pt>
                <c:pt idx="3">
                  <c:v>89.445507579788767</c:v>
                </c:pt>
                <c:pt idx="4">
                  <c:v>89.392018985956028</c:v>
                </c:pt>
                <c:pt idx="5">
                  <c:v>89.333372402084464</c:v>
                </c:pt>
                <c:pt idx="6">
                  <c:v>89.269070987770547</c:v>
                </c:pt>
                <c:pt idx="7">
                  <c:v>89.198570220633314</c:v>
                </c:pt>
                <c:pt idx="8">
                  <c:v>89.121273376251821</c:v>
                </c:pt>
                <c:pt idx="9">
                  <c:v>89.036526597492795</c:v>
                </c:pt>
                <c:pt idx="10">
                  <c:v>88.943613521693877</c:v>
                </c:pt>
                <c:pt idx="11">
                  <c:v>88.841749433679212</c:v>
                </c:pt>
                <c:pt idx="12">
                  <c:v>88.730074912853738</c:v>
                </c:pt>
                <c:pt idx="13">
                  <c:v>88.607648943969096</c:v>
                </c:pt>
                <c:pt idx="14">
                  <c:v>88.473441464012623</c:v>
                </c:pt>
                <c:pt idx="15">
                  <c:v>88.326325322607147</c:v>
                </c:pt>
                <c:pt idx="16">
                  <c:v>88.16506764107973</c:v>
                </c:pt>
                <c:pt idx="17">
                  <c:v>87.98832056694809</c:v>
                </c:pt>
                <c:pt idx="18">
                  <c:v>87.794611437273758</c:v>
                </c:pt>
                <c:pt idx="19">
                  <c:v>87.582332387818965</c:v>
                </c:pt>
                <c:pt idx="20">
                  <c:v>87.349729477382851</c:v>
                </c:pt>
                <c:pt idx="21">
                  <c:v>87.094891440855619</c:v>
                </c:pt>
                <c:pt idx="22">
                  <c:v>86.815738243946541</c:v>
                </c:pt>
                <c:pt idx="23">
                  <c:v>86.510009691651319</c:v>
                </c:pt>
                <c:pt idx="24">
                  <c:v>86.175254446848044</c:v>
                </c:pt>
                <c:pt idx="25">
                  <c:v>85.808819951688236</c:v>
                </c:pt>
                <c:pt idx="26">
                  <c:v>85.40784392075706</c:v>
                </c:pt>
                <c:pt idx="27">
                  <c:v>84.969248300677592</c:v>
                </c:pt>
                <c:pt idx="28">
                  <c:v>84.489736876349852</c:v>
                </c:pt>
                <c:pt idx="29">
                  <c:v>83.965798060154853</c:v>
                </c:pt>
                <c:pt idx="30">
                  <c:v>83.393714837155244</c:v>
                </c:pt>
                <c:pt idx="31">
                  <c:v>82.769584363314493</c:v>
                </c:pt>
                <c:pt idx="32">
                  <c:v>82.089350324876008</c:v>
                </c:pt>
                <c:pt idx="33">
                  <c:v>81.34885185236169</c:v>
                </c:pt>
                <c:pt idx="34">
                  <c:v>80.543893508144322</c:v>
                </c:pt>
                <c:pt idx="35">
                  <c:v>79.670341565483611</c:v>
                </c:pt>
                <c:pt idx="36">
                  <c:v>78.724252355428533</c:v>
                </c:pt>
                <c:pt idx="37">
                  <c:v>77.702038698862154</c:v>
                </c:pt>
                <c:pt idx="38">
                  <c:v>76.600680109372377</c:v>
                </c:pt>
                <c:pt idx="39">
                  <c:v>75.417981210843337</c:v>
                </c:pt>
                <c:pt idx="40">
                  <c:v>74.152880256660779</c:v>
                </c:pt>
                <c:pt idx="41">
                  <c:v>72.805805346182993</c:v>
                </c:pt>
                <c:pt idx="42">
                  <c:v>71.379069585092751</c:v>
                </c:pt>
                <c:pt idx="43">
                  <c:v>69.877287979719128</c:v>
                </c:pt>
                <c:pt idx="44">
                  <c:v>68.307788752849149</c:v>
                </c:pt>
                <c:pt idx="45">
                  <c:v>66.680981235975679</c:v>
                </c:pt>
                <c:pt idx="46">
                  <c:v>65.010633637636104</c:v>
                </c:pt>
                <c:pt idx="47">
                  <c:v>63.314009672871919</c:v>
                </c:pt>
                <c:pt idx="48">
                  <c:v>61.611816320531204</c:v>
                </c:pt>
                <c:pt idx="49">
                  <c:v>59.927928077238505</c:v>
                </c:pt>
                <c:pt idx="50">
                  <c:v>58.288876137256963</c:v>
                </c:pt>
                <c:pt idx="51">
                  <c:v>56.723121043635771</c:v>
                </c:pt>
                <c:pt idx="52">
                  <c:v>55.260158592706574</c:v>
                </c:pt>
                <c:pt idx="53">
                  <c:v>53.9295335307106</c:v>
                </c:pt>
                <c:pt idx="54">
                  <c:v>52.75984705332732</c:v>
                </c:pt>
                <c:pt idx="55">
                  <c:v>51.777838858656708</c:v>
                </c:pt>
                <c:pt idx="56">
                  <c:v>51.007603836958879</c:v>
                </c:pt>
                <c:pt idx="57">
                  <c:v>50.469973032165399</c:v>
                </c:pt>
                <c:pt idx="58">
                  <c:v>50.182056105505097</c:v>
                </c:pt>
                <c:pt idx="59">
                  <c:v>50.156915541131895</c:v>
                </c:pt>
                <c:pt idx="60">
                  <c:v>50.403326175262663</c:v>
                </c:pt>
                <c:pt idx="61">
                  <c:v>50.925569078073721</c:v>
                </c:pt>
                <c:pt idx="62">
                  <c:v>51.723215511873292</c:v>
                </c:pt>
                <c:pt idx="63">
                  <c:v>52.79087224945691</c:v>
                </c:pt>
                <c:pt idx="64">
                  <c:v>54.117881120538172</c:v>
                </c:pt>
                <c:pt idx="65">
                  <c:v>55.687990541241675</c:v>
                </c:pt>
                <c:pt idx="66">
                  <c:v>57.479042377870243</c:v>
                </c:pt>
                <c:pt idx="67">
                  <c:v>59.462740914162353</c:v>
                </c:pt>
                <c:pt idx="68">
                  <c:v>61.604588255940442</c:v>
                </c:pt>
                <c:pt idx="69">
                  <c:v>63.864077655721644</c:v>
                </c:pt>
                <c:pt idx="70">
                  <c:v>66.195228250450043</c:v>
                </c:pt>
                <c:pt idx="71">
                  <c:v>68.547518365922457</c:v>
                </c:pt>
                <c:pt idx="72">
                  <c:v>70.867230275523724</c:v>
                </c:pt>
                <c:pt idx="73">
                  <c:v>73.099162672789021</c:v>
                </c:pt>
                <c:pt idx="74">
                  <c:v>75.188608544580021</c:v>
                </c:pt>
                <c:pt idx="75">
                  <c:v>77.083448338136122</c:v>
                </c:pt>
                <c:pt idx="76">
                  <c:v>78.736182305116273</c:v>
                </c:pt>
                <c:pt idx="77">
                  <c:v>80.105727253846581</c:v>
                </c:pt>
                <c:pt idx="78">
                  <c:v>81.158830216316332</c:v>
                </c:pt>
                <c:pt idx="79">
                  <c:v>81.870997585204478</c:v>
                </c:pt>
                <c:pt idx="80">
                  <c:v>82.226893535981588</c:v>
                </c:pt>
                <c:pt idx="81">
                  <c:v>82.220217545004601</c:v>
                </c:pt>
                <c:pt idx="82">
                  <c:v>81.853122111689217</c:v>
                </c:pt>
                <c:pt idx="83">
                  <c:v>81.135275804569901</c:v>
                </c:pt>
                <c:pt idx="84">
                  <c:v>80.082712169600029</c:v>
                </c:pt>
                <c:pt idx="85">
                  <c:v>78.716630404710116</c:v>
                </c:pt>
                <c:pt idx="86">
                  <c:v>77.062327357130073</c:v>
                </c:pt>
                <c:pt idx="87">
                  <c:v>75.148442016765145</c:v>
                </c:pt>
                <c:pt idx="88">
                  <c:v>73.006686570218307</c:v>
                </c:pt>
                <c:pt idx="89">
                  <c:v>70.672231158331485</c:v>
                </c:pt>
                <c:pt idx="90">
                  <c:v>68.18491862077741</c:v>
                </c:pt>
                <c:pt idx="91">
                  <c:v>65.591535522606051</c:v>
                </c:pt>
                <c:pt idx="92">
                  <c:v>62.949495860618413</c:v>
                </c:pt>
                <c:pt idx="93">
                  <c:v>60.332571526198578</c:v>
                </c:pt>
                <c:pt idx="94">
                  <c:v>57.839855037205851</c:v>
                </c:pt>
                <c:pt idx="95">
                  <c:v>55.610211195246407</c:v>
                </c:pt>
                <c:pt idx="96">
                  <c:v>53.846537705620733</c:v>
                </c:pt>
                <c:pt idx="97">
                  <c:v>52.858004833261475</c:v>
                </c:pt>
                <c:pt idx="98">
                  <c:v>53.134631138313566</c:v>
                </c:pt>
                <c:pt idx="99">
                  <c:v>55.471806054504071</c:v>
                </c:pt>
                <c:pt idx="100">
                  <c:v>61.117769228355513</c:v>
                </c:pt>
                <c:pt idx="101">
                  <c:v>71.609255492571222</c:v>
                </c:pt>
                <c:pt idx="102">
                  <c:v>87.133852737994943</c:v>
                </c:pt>
                <c:pt idx="103">
                  <c:v>67.239577033362139</c:v>
                </c:pt>
                <c:pt idx="104">
                  <c:v>45.119091949749588</c:v>
                </c:pt>
                <c:pt idx="105">
                  <c:v>28.210867794387241</c:v>
                </c:pt>
                <c:pt idx="106">
                  <c:v>15.255257666536124</c:v>
                </c:pt>
                <c:pt idx="107">
                  <c:v>4.901411258304222</c:v>
                </c:pt>
                <c:pt idx="108">
                  <c:v>-3.7380726381154261</c:v>
                </c:pt>
                <c:pt idx="109">
                  <c:v>-11.190456610810202</c:v>
                </c:pt>
                <c:pt idx="110">
                  <c:v>-17.767512195240272</c:v>
                </c:pt>
                <c:pt idx="111">
                  <c:v>-23.658320152698622</c:v>
                </c:pt>
                <c:pt idx="112">
                  <c:v>-28.981961218478972</c:v>
                </c:pt>
                <c:pt idx="113">
                  <c:v>-33.816976596312116</c:v>
                </c:pt>
                <c:pt idx="114">
                  <c:v>-38.218032022513142</c:v>
                </c:pt>
                <c:pt idx="115">
                  <c:v>-42.225488531563201</c:v>
                </c:pt>
                <c:pt idx="116">
                  <c:v>-45.870958418453426</c:v>
                </c:pt>
                <c:pt idx="117">
                  <c:v>-49.180541056608519</c:v>
                </c:pt>
                <c:pt idx="118">
                  <c:v>-52.176697987583694</c:v>
                </c:pt>
                <c:pt idx="119">
                  <c:v>-54.87932498504972</c:v>
                </c:pt>
                <c:pt idx="120">
                  <c:v>-57.306351801454298</c:v>
                </c:pt>
                <c:pt idx="121">
                  <c:v>-59.474067930043844</c:v>
                </c:pt>
                <c:pt idx="122">
                  <c:v>-61.397293583030105</c:v>
                </c:pt>
                <c:pt idx="123">
                  <c:v>-63.089467041803161</c:v>
                </c:pt>
                <c:pt idx="124">
                  <c:v>-64.562690204933318</c:v>
                </c:pt>
                <c:pt idx="125">
                  <c:v>-65.82775634441208</c:v>
                </c:pt>
                <c:pt idx="126">
                  <c:v>-66.894173441019092</c:v>
                </c:pt>
                <c:pt idx="127">
                  <c:v>-67.770190324214184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AD-4611-8B34-87B698A7264B}"/>
            </c:ext>
          </c:extLst>
        </c:ser>
        <c:ser>
          <c:idx val="12"/>
          <c:order val="3"/>
          <c:tx>
            <c:v>Phase_Recommended (deg)</c:v>
          </c:tx>
          <c:spPr>
            <a:ln w="25400">
              <a:solidFill>
                <a:srgbClr val="FF00FF"/>
              </a:solidFill>
              <a:prstDash val="sysDash"/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Bode_Plot!$BI$50:$BI$177</c:f>
              <c:numCache>
                <c:formatCode>General</c:formatCode>
                <c:ptCount val="128"/>
                <c:pt idx="0">
                  <c:v>89.958120220870015</c:v>
                </c:pt>
                <c:pt idx="1">
                  <c:v>89.790107039112357</c:v>
                </c:pt>
                <c:pt idx="2">
                  <c:v>89.581227969191232</c:v>
                </c:pt>
                <c:pt idx="3">
                  <c:v>89.540831369359367</c:v>
                </c:pt>
                <c:pt idx="4">
                  <c:v>89.49653921461659</c:v>
                </c:pt>
                <c:pt idx="5">
                  <c:v>89.447976253071474</c:v>
                </c:pt>
                <c:pt idx="6">
                  <c:v>89.394731215048267</c:v>
                </c:pt>
                <c:pt idx="7">
                  <c:v>89.336353397248601</c:v>
                </c:pt>
                <c:pt idx="8">
                  <c:v>89.27234893613479</c:v>
                </c:pt>
                <c:pt idx="9">
                  <c:v>89.202176746508911</c:v>
                </c:pt>
                <c:pt idx="10">
                  <c:v>89.12524410082959</c:v>
                </c:pt>
                <c:pt idx="11">
                  <c:v>89.040901824927403</c:v>
                </c:pt>
                <c:pt idx="12">
                  <c:v>88.948439086690641</c:v>
                </c:pt>
                <c:pt idx="13">
                  <c:v>88.847077756314022</c:v>
                </c:pt>
                <c:pt idx="14">
                  <c:v>88.735966320254306</c:v>
                </c:pt>
                <c:pt idx="15">
                  <c:v>88.614173336684061</c:v>
                </c:pt>
                <c:pt idx="16">
                  <c:v>88.480680428706719</c:v>
                </c:pt>
                <c:pt idx="17">
                  <c:v>88.334374823865545</c:v>
                </c:pt>
                <c:pt idx="18">
                  <c:v>88.174041465795412</c:v>
                </c:pt>
                <c:pt idx="19">
                  <c:v>87.998354747867083</c:v>
                </c:pt>
                <c:pt idx="20">
                  <c:v>87.805869951455833</c:v>
                </c:pt>
                <c:pt idx="21">
                  <c:v>87.595014515722866</c:v>
                </c:pt>
                <c:pt idx="22">
                  <c:v>87.364079324940946</c:v>
                </c:pt>
                <c:pt idx="23">
                  <c:v>87.111210277712672</c:v>
                </c:pt>
                <c:pt idx="24">
                  <c:v>86.834400505236971</c:v>
                </c:pt>
                <c:pt idx="25">
                  <c:v>86.531483739543205</c:v>
                </c:pt>
                <c:pt idx="26">
                  <c:v>86.200129505050143</c:v>
                </c:pt>
                <c:pt idx="27">
                  <c:v>85.837841026805663</c:v>
                </c:pt>
                <c:pt idx="28">
                  <c:v>85.441957026114565</c:v>
                </c:pt>
                <c:pt idx="29">
                  <c:v>85.009658918959104</c:v>
                </c:pt>
                <c:pt idx="30">
                  <c:v>84.537985353515182</c:v>
                </c:pt>
                <c:pt idx="31">
                  <c:v>84.02385652550727</c:v>
                </c:pt>
                <c:pt idx="32">
                  <c:v>83.464111292146242</c:v>
                </c:pt>
                <c:pt idx="33">
                  <c:v>82.855560751703365</c:v>
                </c:pt>
                <c:pt idx="34">
                  <c:v>82.195062629377887</c:v>
                </c:pt>
                <c:pt idx="35">
                  <c:v>81.479621440491513</c:v>
                </c:pt>
                <c:pt idx="36">
                  <c:v>80.706519870553848</c:v>
                </c:pt>
                <c:pt idx="37">
                  <c:v>79.873486935255059</c:v>
                </c:pt>
                <c:pt idx="38">
                  <c:v>78.978907999873599</c:v>
                </c:pt>
                <c:pt idx="39">
                  <c:v>78.022080300542186</c:v>
                </c:pt>
                <c:pt idx="40">
                  <c:v>77.003514804201359</c:v>
                </c:pt>
                <c:pt idx="41">
                  <c:v>75.925280639641585</c:v>
                </c:pt>
                <c:pt idx="42">
                  <c:v>74.791381593580738</c:v>
                </c:pt>
                <c:pt idx="43">
                  <c:v>73.608145232891857</c:v>
                </c:pt>
                <c:pt idx="44">
                  <c:v>72.384594541148644</c:v>
                </c:pt>
                <c:pt idx="45">
                  <c:v>71.132760761211813</c:v>
                </c:pt>
                <c:pt idx="46">
                  <c:v>69.867886537835446</c:v>
                </c:pt>
                <c:pt idx="47">
                  <c:v>68.608463357717952</c:v>
                </c:pt>
                <c:pt idx="48">
                  <c:v>67.376049821880272</c:v>
                </c:pt>
                <c:pt idx="49">
                  <c:v>66.194829814263969</c:v>
                </c:pt>
                <c:pt idx="50">
                  <c:v>65.09089250032531</c:v>
                </c:pt>
                <c:pt idx="51">
                  <c:v>64.091246709213749</c:v>
                </c:pt>
                <c:pt idx="52">
                  <c:v>63.22261511426575</c:v>
                </c:pt>
                <c:pt idx="53">
                  <c:v>62.510081664907418</c:v>
                </c:pt>
                <c:pt idx="54">
                  <c:v>61.975682731921495</c:v>
                </c:pt>
                <c:pt idx="55">
                  <c:v>61.637035501324007</c:v>
                </c:pt>
                <c:pt idx="56">
                  <c:v>61.50608788162269</c:v>
                </c:pt>
                <c:pt idx="57">
                  <c:v>61.588057863441279</c:v>
                </c:pt>
                <c:pt idx="58">
                  <c:v>61.880613366676201</c:v>
                </c:pt>
                <c:pt idx="59">
                  <c:v>62.373330779480398</c:v>
                </c:pt>
                <c:pt idx="60">
                  <c:v>63.047462370058895</c:v>
                </c:pt>
                <c:pt idx="61">
                  <c:v>63.876036147056539</c:v>
                </c:pt>
                <c:pt idx="62">
                  <c:v>64.82430085796129</c:v>
                </c:pt>
                <c:pt idx="63">
                  <c:v>65.850508823103823</c:v>
                </c:pt>
                <c:pt idx="64">
                  <c:v>66.906999563850661</c:v>
                </c:pt>
                <c:pt idx="65">
                  <c:v>67.941513107968703</c:v>
                </c:pt>
                <c:pt idx="66">
                  <c:v>68.898633995845046</c:v>
                </c:pt>
                <c:pt idx="67">
                  <c:v>69.721257060822751</c:v>
                </c:pt>
                <c:pt idx="68">
                  <c:v>70.351981143113321</c:v>
                </c:pt>
                <c:pt idx="69">
                  <c:v>70.734375050618183</c:v>
                </c:pt>
                <c:pt idx="70">
                  <c:v>70.814109751664731</c:v>
                </c:pt>
                <c:pt idx="71">
                  <c:v>70.539995279510279</c:v>
                </c:pt>
                <c:pt idx="72">
                  <c:v>69.864985560005024</c:v>
                </c:pt>
                <c:pt idx="73">
                  <c:v>68.747212955605292</c:v>
                </c:pt>
                <c:pt idx="74">
                  <c:v>67.151090221188781</c:v>
                </c:pt>
                <c:pt idx="75">
                  <c:v>65.04848088624081</c:v>
                </c:pt>
                <c:pt idx="76">
                  <c:v>62.419900883653057</c:v>
                </c:pt>
                <c:pt idx="77">
                  <c:v>59.255682014102746</c:v>
                </c:pt>
                <c:pt idx="78">
                  <c:v>55.557004229469158</c:v>
                </c:pt>
                <c:pt idx="79">
                  <c:v>51.336688605920415</c:v>
                </c:pt>
                <c:pt idx="80">
                  <c:v>46.619636626393287</c:v>
                </c:pt>
                <c:pt idx="81">
                  <c:v>41.442807095026154</c:v>
                </c:pt>
                <c:pt idx="82">
                  <c:v>35.854645164544308</c:v>
                </c:pt>
                <c:pt idx="83">
                  <c:v>29.913923665386051</c:v>
                </c:pt>
                <c:pt idx="84">
                  <c:v>23.688025920083334</c:v>
                </c:pt>
                <c:pt idx="85">
                  <c:v>17.250784932647974</c:v>
                </c:pt>
                <c:pt idx="86">
                  <c:v>10.680082395572043</c:v>
                </c:pt>
                <c:pt idx="87">
                  <c:v>4.0554850817654255</c:v>
                </c:pt>
                <c:pt idx="88">
                  <c:v>-2.5437579511158503</c:v>
                </c:pt>
                <c:pt idx="89">
                  <c:v>-9.040019307203977</c:v>
                </c:pt>
                <c:pt idx="90">
                  <c:v>-15.35756369022468</c:v>
                </c:pt>
                <c:pt idx="91">
                  <c:v>-21.421439440554366</c:v>
                </c:pt>
                <c:pt idx="92">
                  <c:v>-27.154567767341831</c:v>
                </c:pt>
                <c:pt idx="93">
                  <c:v>-32.472378423347209</c:v>
                </c:pt>
                <c:pt idx="94">
                  <c:v>-37.273825778280127</c:v>
                </c:pt>
                <c:pt idx="95">
                  <c:v>-41.426567670751325</c:v>
                </c:pt>
                <c:pt idx="96">
                  <c:v>-44.742031495891752</c:v>
                </c:pt>
                <c:pt idx="97">
                  <c:v>-46.932240532424203</c:v>
                </c:pt>
                <c:pt idx="98">
                  <c:v>-47.534086116164303</c:v>
                </c:pt>
                <c:pt idx="99">
                  <c:v>-45.783483293336985</c:v>
                </c:pt>
                <c:pt idx="100">
                  <c:v>-40.466460906475078</c:v>
                </c:pt>
                <c:pt idx="101">
                  <c:v>-30.082053258346832</c:v>
                </c:pt>
                <c:pt idx="102">
                  <c:v>-14.478533193593762</c:v>
                </c:pt>
                <c:pt idx="103">
                  <c:v>-34.142570021917265</c:v>
                </c:pt>
                <c:pt idx="104">
                  <c:v>-55.9139602404328</c:v>
                </c:pt>
                <c:pt idx="105">
                  <c:v>-72.383685362486489</c:v>
                </c:pt>
                <c:pt idx="106">
                  <c:v>-84.83733837784591</c:v>
                </c:pt>
                <c:pt idx="107">
                  <c:v>-94.647985125826537</c:v>
                </c:pt>
                <c:pt idx="108">
                  <c:v>-102.72152201754925</c:v>
                </c:pt>
                <c:pt idx="109">
                  <c:v>-109.60017924775065</c:v>
                </c:pt>
                <c:pt idx="110">
                  <c:v>-115.60748633598288</c:v>
                </c:pt>
                <c:pt idx="111">
                  <c:v>-120.9414619799488</c:v>
                </c:pt>
                <c:pt idx="112">
                  <c:v>-125.72772125258902</c:v>
                </c:pt>
                <c:pt idx="113">
                  <c:v>-130.04934587824889</c:v>
                </c:pt>
                <c:pt idx="114">
                  <c:v>-133.96392897484361</c:v>
                </c:pt>
                <c:pt idx="115">
                  <c:v>-137.51348453393464</c:v>
                </c:pt>
                <c:pt idx="116">
                  <c:v>-140.73029469181719</c:v>
                </c:pt>
                <c:pt idx="117">
                  <c:v>-143.64038921884307</c:v>
                </c:pt>
                <c:pt idx="118">
                  <c:v>-146.26561970130098</c:v>
                </c:pt>
                <c:pt idx="119">
                  <c:v>-148.62489096729325</c:v>
                </c:pt>
                <c:pt idx="120">
                  <c:v>-150.73488603522276</c:v>
                </c:pt>
                <c:pt idx="121">
                  <c:v>-152.61048850973793</c:v>
                </c:pt>
                <c:pt idx="122">
                  <c:v>-154.26502682745064</c:v>
                </c:pt>
                <c:pt idx="123">
                  <c:v>-155.71041611131963</c:v>
                </c:pt>
                <c:pt idx="124">
                  <c:v>-156.95724339150502</c:v>
                </c:pt>
                <c:pt idx="125">
                  <c:v>-158.01482347466052</c:v>
                </c:pt>
                <c:pt idx="126">
                  <c:v>-158.8912414992532</c:v>
                </c:pt>
                <c:pt idx="127">
                  <c:v>-159.59339154056059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AD-4611-8B34-87B698A726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674048"/>
        <c:axId val="104667776"/>
      </c:scatterChart>
      <c:valAx>
        <c:axId val="104192640"/>
        <c:scaling>
          <c:logBase val="10"/>
          <c:orientation val="minMax"/>
          <c:max val="1000000"/>
          <c:min val="10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sz="1600"/>
                  <a:t>Frequency (kHz)</a:t>
                </a:r>
              </a:p>
            </c:rich>
          </c:tx>
          <c:layout>
            <c:manualLayout>
              <c:xMode val="edge"/>
              <c:yMode val="edge"/>
              <c:x val="0.435574254283425"/>
              <c:y val="0.94007922397001797"/>
            </c:manualLayout>
          </c:layout>
          <c:overlay val="0"/>
        </c:title>
        <c:numFmt formatCode="General" sourceLinked="0"/>
        <c:majorTickMark val="out"/>
        <c:minorTickMark val="none"/>
        <c:tickLblPos val="low"/>
        <c:txPr>
          <a:bodyPr/>
          <a:lstStyle/>
          <a:p>
            <a:pPr>
              <a:defRPr sz="1200"/>
            </a:pPr>
            <a:endParaRPr lang="en-US"/>
          </a:p>
        </c:txPr>
        <c:crossAx val="104665856"/>
        <c:crosses val="autoZero"/>
        <c:crossBetween val="midCat"/>
        <c:dispUnits>
          <c:builtInUnit val="thousands"/>
        </c:dispUnits>
      </c:valAx>
      <c:valAx>
        <c:axId val="104665856"/>
        <c:scaling>
          <c:orientation val="minMax"/>
          <c:max val="80"/>
          <c:min val="-4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>
                    <a:solidFill>
                      <a:srgbClr val="0000FF"/>
                    </a:solidFill>
                  </a:defRPr>
                </a:pPr>
                <a:r>
                  <a:rPr lang="en-US" sz="1600">
                    <a:solidFill>
                      <a:srgbClr val="0000FF"/>
                    </a:solidFill>
                  </a:rPr>
                  <a:t>Gain (dB)</a:t>
                </a:r>
              </a:p>
            </c:rich>
          </c:tx>
          <c:layout>
            <c:manualLayout>
              <c:xMode val="edge"/>
              <c:yMode val="edge"/>
              <c:x val="2.1873277993950117E-2"/>
              <c:y val="0.4415253288200755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104192640"/>
        <c:crossesAt val="0.1"/>
        <c:crossBetween val="midCat"/>
        <c:majorUnit val="10"/>
      </c:valAx>
      <c:valAx>
        <c:axId val="104667776"/>
        <c:scaling>
          <c:orientation val="minMax"/>
          <c:max val="120"/>
          <c:min val="-6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200">
                    <a:solidFill>
                      <a:srgbClr val="FF0000"/>
                    </a:solidFill>
                  </a:defRPr>
                </a:pPr>
                <a:r>
                  <a:rPr lang="en-US" sz="1600">
                    <a:solidFill>
                      <a:srgbClr val="FF0000"/>
                    </a:solidFill>
                  </a:rPr>
                  <a:t>Phase (deg)</a:t>
                </a:r>
              </a:p>
            </c:rich>
          </c:tx>
          <c:layout>
            <c:manualLayout>
              <c:xMode val="edge"/>
              <c:yMode val="edge"/>
              <c:x val="0.9578707254894574"/>
              <c:y val="0.3788175909118406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104674048"/>
        <c:crosses val="max"/>
        <c:crossBetween val="midCat"/>
        <c:majorUnit val="15"/>
      </c:valAx>
      <c:valAx>
        <c:axId val="104674048"/>
        <c:scaling>
          <c:logBase val="10"/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104667776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8.9183526300357974E-2"/>
          <c:y val="0.67751594132183202"/>
          <c:w val="0.27097555809623508"/>
          <c:h val="0.19957506780681142"/>
        </c:manualLayout>
      </c:layout>
      <c:overlay val="0"/>
      <c:spPr>
        <a:solidFill>
          <a:schemeClr val="bg1"/>
        </a:solidFill>
      </c:spPr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latin typeface="Times New Roman" pitchFamily="18" charset="0"/>
                <a:cs typeface="Times New Roman" pitchFamily="18" charset="0"/>
              </a:rPr>
              <a:t>Plant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9557401236081441E-2"/>
          <c:y val="0.10324218407476761"/>
          <c:w val="0.81987634799210973"/>
          <c:h val="0.80501495099944076"/>
        </c:manualLayout>
      </c:layout>
      <c:scatterChart>
        <c:scatterStyle val="smoothMarker"/>
        <c:varyColors val="0"/>
        <c:ser>
          <c:idx val="7"/>
          <c:order val="0"/>
          <c:tx>
            <c:v>gain</c:v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Bode_Plot!$Y$50:$Y$177</c:f>
              <c:numCache>
                <c:formatCode>0.000</c:formatCode>
                <c:ptCount val="128"/>
                <c:pt idx="0">
                  <c:v>7.130639732742365</c:v>
                </c:pt>
                <c:pt idx="1">
                  <c:v>7.1305045331250438</c:v>
                </c:pt>
                <c:pt idx="2">
                  <c:v>7.1300848083405057</c:v>
                </c:pt>
                <c:pt idx="3">
                  <c:v>7.1299714414222279</c:v>
                </c:pt>
                <c:pt idx="4">
                  <c:v>7.1298351481378761</c:v>
                </c:pt>
                <c:pt idx="5">
                  <c:v>7.1296712929601185</c:v>
                </c:pt>
                <c:pt idx="6">
                  <c:v>7.1294743034987418</c:v>
                </c:pt>
                <c:pt idx="7">
                  <c:v>7.1292374813361299</c:v>
                </c:pt>
                <c:pt idx="8">
                  <c:v>7.128952774747793</c:v>
                </c:pt>
                <c:pt idx="9">
                  <c:v>7.1286105056638949</c:v>
                </c:pt>
                <c:pt idx="10">
                  <c:v>7.1281990417110483</c:v>
                </c:pt>
                <c:pt idx="11">
                  <c:v>7.1277044023612026</c:v>
                </c:pt>
                <c:pt idx="12">
                  <c:v>7.1271097860567441</c:v>
                </c:pt>
                <c:pt idx="13">
                  <c:v>7.12639500261138</c:v>
                </c:pt>
                <c:pt idx="14">
                  <c:v>7.1255357921358051</c:v>
                </c:pt>
                <c:pt idx="15">
                  <c:v>7.1245030081265561</c:v>
                </c:pt>
                <c:pt idx="16">
                  <c:v>7.1232616380936467</c:v>
                </c:pt>
                <c:pt idx="17">
                  <c:v>7.1217696300925306</c:v>
                </c:pt>
                <c:pt idx="18">
                  <c:v>7.1199764876687324</c:v>
                </c:pt>
                <c:pt idx="19">
                  <c:v>7.1178215889146976</c:v>
                </c:pt>
                <c:pt idx="20">
                  <c:v>7.1152321774954093</c:v>
                </c:pt>
                <c:pt idx="21">
                  <c:v>7.1121209645479322</c:v>
                </c:pt>
                <c:pt idx="22">
                  <c:v>7.1083832702927605</c:v>
                </c:pt>
                <c:pt idx="23">
                  <c:v>7.1038936230661083</c:v>
                </c:pt>
                <c:pt idx="24">
                  <c:v>7.0985017214975823</c:v>
                </c:pt>
                <c:pt idx="25">
                  <c:v>7.0920276531004989</c:v>
                </c:pt>
                <c:pt idx="26">
                  <c:v>7.0842562503222624</c:v>
                </c:pt>
                <c:pt idx="27">
                  <c:v>7.074930454241688</c:v>
                </c:pt>
                <c:pt idx="28">
                  <c:v>7.0637435483518516</c:v>
                </c:pt>
                <c:pt idx="29">
                  <c:v>7.0503301228245228</c:v>
                </c:pt>
                <c:pt idx="30">
                  <c:v>7.0342556370445255</c:v>
                </c:pt>
                <c:pt idx="31">
                  <c:v>7.0150044702098926</c:v>
                </c:pt>
                <c:pt idx="32">
                  <c:v>6.9919663934037501</c:v>
                </c:pt>
                <c:pt idx="33">
                  <c:v>6.9644214707815095</c:v>
                </c:pt>
                <c:pt idx="34">
                  <c:v>6.9315235135477318</c:v>
                </c:pt>
                <c:pt idx="35">
                  <c:v>6.8922823810762965</c:v>
                </c:pt>
                <c:pt idx="36">
                  <c:v>6.8455456622470043</c:v>
                </c:pt>
                <c:pt idx="37">
                  <c:v>6.7899805881707467</c:v>
                </c:pt>
                <c:pt idx="38">
                  <c:v>6.7240574297999745</c:v>
                </c:pt>
                <c:pt idx="39">
                  <c:v>6.6460361118620472</c:v>
                </c:pt>
                <c:pt idx="40">
                  <c:v>6.5539582964513823</c:v>
                </c:pt>
                <c:pt idx="41">
                  <c:v>6.4456476894909445</c:v>
                </c:pt>
                <c:pt idx="42">
                  <c:v>6.3187216905719357</c:v>
                </c:pt>
                <c:pt idx="43">
                  <c:v>6.1706175827945913</c:v>
                </c:pt>
                <c:pt idx="44">
                  <c:v>5.9986360491824442</c:v>
                </c:pt>
                <c:pt idx="45">
                  <c:v>5.8000037113922183</c:v>
                </c:pt>
                <c:pt idx="46">
                  <c:v>5.5719544880688998</c:v>
                </c:pt>
                <c:pt idx="47">
                  <c:v>5.3118268978383814</c:v>
                </c:pt>
                <c:pt idx="48">
                  <c:v>5.0171712696316408</c:v>
                </c:pt>
                <c:pt idx="49">
                  <c:v>4.685857744596861</c:v>
                </c:pt>
                <c:pt idx="50">
                  <c:v>4.3161737555630832</c:v>
                </c:pt>
                <c:pt idx="51">
                  <c:v>3.9068991688235681</c:v>
                </c:pt>
                <c:pt idx="52">
                  <c:v>3.4573490089709589</c:v>
                </c:pt>
                <c:pt idx="53">
                  <c:v>2.9673776468705308</c:v>
                </c:pt>
                <c:pt idx="54">
                  <c:v>2.4373438391035576</c:v>
                </c:pt>
                <c:pt idx="55">
                  <c:v>1.8680418843409117</c:v>
                </c:pt>
                <c:pt idx="56">
                  <c:v>1.2606090986014782</c:v>
                </c:pt>
                <c:pt idx="57">
                  <c:v>0.61642279546810419</c:v>
                </c:pt>
                <c:pt idx="58">
                  <c:v>-6.2999446342808824E-2</c:v>
                </c:pt>
                <c:pt idx="59">
                  <c:v>-0.776084075835346</c:v>
                </c:pt>
                <c:pt idx="60">
                  <c:v>-1.5212615698041136</c:v>
                </c:pt>
                <c:pt idx="61">
                  <c:v>-2.2969975797458129</c:v>
                </c:pt>
                <c:pt idx="62">
                  <c:v>-3.1017953662198643</c:v>
                </c:pt>
                <c:pt idx="63">
                  <c:v>-3.9341743272809797</c:v>
                </c:pt>
                <c:pt idx="64">
                  <c:v>-4.792633671244821</c:v>
                </c:pt>
                <c:pt idx="65">
                  <c:v>-5.6756136331807756</c:v>
                </c:pt>
                <c:pt idx="66">
                  <c:v>-6.581468454445691</c:v>
                </c:pt>
                <c:pt idx="67">
                  <c:v>-7.508464919215454</c:v>
                </c:pt>
                <c:pt idx="68">
                  <c:v>-8.4548170388455777</c:v>
                </c:pt>
                <c:pt idx="69">
                  <c:v>-9.4187615088321621</c:v>
                </c:pt>
                <c:pt idx="70">
                  <c:v>-10.398670671164671</c:v>
                </c:pt>
                <c:pt idx="71">
                  <c:v>-11.393191533901572</c:v>
                </c:pt>
                <c:pt idx="72">
                  <c:v>-12.401392951169001</c:v>
                </c:pt>
                <c:pt idx="73">
                  <c:v>-13.422900067609785</c:v>
                </c:pt>
                <c:pt idx="74">
                  <c:v>-14.457996344402291</c:v>
                </c:pt>
                <c:pt idx="75">
                  <c:v>-15.507678442192425</c:v>
                </c:pt>
                <c:pt idx="76">
                  <c:v>-16.57365649025563</c:v>
                </c:pt>
                <c:pt idx="77">
                  <c:v>-17.658300021299823</c:v>
                </c:pt>
                <c:pt idx="78">
                  <c:v>-18.764536624508807</c:v>
                </c:pt>
                <c:pt idx="79">
                  <c:v>-19.895715412068352</c:v>
                </c:pt>
                <c:pt idx="80">
                  <c:v>-21.055450648156864</c:v>
                </c:pt>
                <c:pt idx="81">
                  <c:v>-22.247462656389544</c:v>
                </c:pt>
                <c:pt idx="82">
                  <c:v>-23.475433668188636</c:v>
                </c:pt>
                <c:pt idx="83">
                  <c:v>-24.742895610225926</c:v>
                </c:pt>
                <c:pt idx="84">
                  <c:v>-26.053164769002379</c:v>
                </c:pt>
                <c:pt idx="85">
                  <c:v>-27.409334716019696</c:v>
                </c:pt>
                <c:pt idx="86">
                  <c:v>-28.814334126371648</c:v>
                </c:pt>
                <c:pt idx="87">
                  <c:v>-30.271051007890545</c:v>
                </c:pt>
                <c:pt idx="88">
                  <c:v>-31.782520594794299</c:v>
                </c:pt>
                <c:pt idx="89">
                  <c:v>-33.352171980921909</c:v>
                </c:pt>
                <c:pt idx="90">
                  <c:v>-34.984129282471386</c:v>
                </c:pt>
                <c:pt idx="91">
                  <c:v>-36.68356672978846</c:v>
                </c:pt>
                <c:pt idx="92">
                  <c:v>-38.457122317353559</c:v>
                </c:pt>
                <c:pt idx="93">
                  <c:v>-40.313377726954549</c:v>
                </c:pt>
                <c:pt idx="94">
                  <c:v>-42.263403077104478</c:v>
                </c:pt>
                <c:pt idx="95">
                  <c:v>-44.321315270431086</c:v>
                </c:pt>
                <c:pt idx="96">
                  <c:v>-46.504624939289968</c:v>
                </c:pt>
                <c:pt idx="97">
                  <c:v>-48.833595957656321</c:v>
                </c:pt>
                <c:pt idx="98">
                  <c:v>-51.327131467427094</c:v>
                </c:pt>
                <c:pt idx="99">
                  <c:v>-53.987514468301114</c:v>
                </c:pt>
                <c:pt idx="100">
                  <c:v>-56.75248115118923</c:v>
                </c:pt>
                <c:pt idx="101">
                  <c:v>-59.375816624564791</c:v>
                </c:pt>
                <c:pt idx="102">
                  <c:v>-61.303219199851149</c:v>
                </c:pt>
                <c:pt idx="103">
                  <c:v>-62.031883524848936</c:v>
                </c:pt>
                <c:pt idx="104">
                  <c:v>-61.816792487930179</c:v>
                </c:pt>
                <c:pt idx="105">
                  <c:v>-61.281100233125173</c:v>
                </c:pt>
                <c:pt idx="106">
                  <c:v>-60.787043678958341</c:v>
                </c:pt>
                <c:pt idx="107">
                  <c:v>-60.449201890812539</c:v>
                </c:pt>
                <c:pt idx="108">
                  <c:v>-60.281074348920967</c:v>
                </c:pt>
                <c:pt idx="109">
                  <c:v>-60.26623614230364</c:v>
                </c:pt>
                <c:pt idx="110">
                  <c:v>-60.382553335224813</c:v>
                </c:pt>
                <c:pt idx="111">
                  <c:v>-60.609248455841879</c:v>
                </c:pt>
                <c:pt idx="112">
                  <c:v>-60.92848802329258</c:v>
                </c:pt>
                <c:pt idx="113">
                  <c:v>-61.325357803630503</c:v>
                </c:pt>
                <c:pt idx="114">
                  <c:v>-61.787447325702516</c:v>
                </c:pt>
                <c:pt idx="115">
                  <c:v>-62.304409374836631</c:v>
                </c:pt>
                <c:pt idx="116">
                  <c:v>-62.867586859176619</c:v>
                </c:pt>
                <c:pt idx="117">
                  <c:v>-63.46971590563178</c:v>
                </c:pt>
                <c:pt idx="118">
                  <c:v>-64.104692345446267</c:v>
                </c:pt>
                <c:pt idx="119">
                  <c:v>-64.7673864179215</c:v>
                </c:pt>
                <c:pt idx="120">
                  <c:v>-65.453493363509978</c:v>
                </c:pt>
                <c:pt idx="121">
                  <c:v>-66.159411022574815</c:v>
                </c:pt>
                <c:pt idx="122">
                  <c:v>-66.88213833881403</c:v>
                </c:pt>
                <c:pt idx="123">
                  <c:v>-67.619190622951038</c:v>
                </c:pt>
                <c:pt idx="124">
                  <c:v>-68.36852871741533</c:v>
                </c:pt>
                <c:pt idx="125">
                  <c:v>-69.128500018626383</c:v>
                </c:pt>
                <c:pt idx="126">
                  <c:v>-69.89778982739216</c:v>
                </c:pt>
                <c:pt idx="127">
                  <c:v>-70.675381827087577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2AB-4144-8F62-F58A7738F5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961376"/>
        <c:axId val="346959416"/>
      </c:scatterChart>
      <c:scatterChart>
        <c:scatterStyle val="smoothMarker"/>
        <c:varyColors val="0"/>
        <c:ser>
          <c:idx val="0"/>
          <c:order val="1"/>
          <c:tx>
            <c:v>phase</c:v>
          </c:tx>
          <c:spPr>
            <a:ln w="25400">
              <a:solidFill>
                <a:srgbClr val="00B050"/>
              </a:solidFill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Bode_Plot!$AA$50:$AA$177</c:f>
              <c:numCache>
                <c:formatCode>0.0</c:formatCode>
                <c:ptCount val="128"/>
                <c:pt idx="0">
                  <c:v>-7.1813504785112767E-2</c:v>
                </c:pt>
                <c:pt idx="1">
                  <c:v>-0.35991683801283775</c:v>
                </c:pt>
                <c:pt idx="2">
                  <c:v>-0.71810818658284459</c:v>
                </c:pt>
                <c:pt idx="3">
                  <c:v>-0.78738395217119639</c:v>
                </c:pt>
                <c:pt idx="4">
                  <c:v>-0.86334140400968684</c:v>
                </c:pt>
                <c:pt idx="5">
                  <c:v>-0.94662456993958177</c:v>
                </c:pt>
                <c:pt idx="6">
                  <c:v>-1.0379394186567457</c:v>
                </c:pt>
                <c:pt idx="7">
                  <c:v>-1.1380597740315346</c:v>
                </c:pt>
                <c:pt idx="8">
                  <c:v>-1.2478337804511457</c:v>
                </c:pt>
                <c:pt idx="9">
                  <c:v>-1.3681909661323297</c:v>
                </c:pt>
                <c:pt idx="10">
                  <c:v>-1.5001499539150196</c:v>
                </c:pt>
                <c:pt idx="11">
                  <c:v>-1.644826871237614</c:v>
                </c:pt>
                <c:pt idx="12">
                  <c:v>-1.8034445125820164</c:v>
                </c:pt>
                <c:pt idx="13">
                  <c:v>-1.977342308350843</c:v>
                </c:pt>
                <c:pt idx="14">
                  <c:v>-2.1679871534816049</c:v>
                </c:pt>
                <c:pt idx="15">
                  <c:v>-2.3769851465526282</c:v>
                </c:pt>
                <c:pt idx="16">
                  <c:v>-2.6060942849545827</c:v>
                </c:pt>
                <c:pt idx="17">
                  <c:v>-2.8572381529071467</c:v>
                </c:pt>
                <c:pt idx="18">
                  <c:v>-3.1325206254134788</c:v>
                </c:pt>
                <c:pt idx="19">
                  <c:v>-3.4342415909915611</c:v>
                </c:pt>
                <c:pt idx="20">
                  <c:v>-3.7649136670364789</c:v>
                </c:pt>
                <c:pt idx="21">
                  <c:v>-4.1272798411689813</c:v>
                </c:pt>
                <c:pt idx="22">
                  <c:v>-4.524331916366533</c:v>
                </c:pt>
                <c:pt idx="23">
                  <c:v>-4.9593295625822256</c:v>
                </c:pt>
                <c:pt idx="24">
                  <c:v>-5.4358196773617804</c:v>
                </c:pt>
                <c:pt idx="25">
                  <c:v>-5.9576556258518787</c:v>
                </c:pt>
                <c:pt idx="26">
                  <c:v>-6.5290157583682822</c:v>
                </c:pt>
                <c:pt idx="27">
                  <c:v>-7.1544203818326384</c:v>
                </c:pt>
                <c:pt idx="28">
                  <c:v>-7.8387460792565165</c:v>
                </c:pt>
                <c:pt idx="29">
                  <c:v>-8.5872359179297479</c:v>
                </c:pt>
                <c:pt idx="30">
                  <c:v>-9.4055036517139321</c:v>
                </c:pt>
                <c:pt idx="31">
                  <c:v>-10.299529498560855</c:v>
                </c:pt>
                <c:pt idx="32">
                  <c:v>-11.275644460490458</c:v>
                </c:pt>
                <c:pt idx="33">
                  <c:v>-12.340499461710449</c:v>
                </c:pt>
                <c:pt idx="34">
                  <c:v>-13.501014844060535</c:v>
                </c:pt>
                <c:pt idx="35">
                  <c:v>-14.764305042534181</c:v>
                </c:pt>
                <c:pt idx="36">
                  <c:v>-16.137572678904789</c:v>
                </c:pt>
                <c:pt idx="37">
                  <c:v>-17.627966032766263</c:v>
                </c:pt>
                <c:pt idx="38">
                  <c:v>-19.2423941277005</c:v>
                </c:pt>
                <c:pt idx="39">
                  <c:v>-20.98729483876507</c:v>
                </c:pt>
                <c:pt idx="40">
                  <c:v>-22.868353885061687</c:v>
                </c:pt>
                <c:pt idx="41">
                  <c:v>-24.890176729330374</c:v>
                </c:pt>
                <c:pt idx="42">
                  <c:v>-27.055921579656975</c:v>
                </c:pt>
                <c:pt idx="43">
                  <c:v>-29.366909915088044</c:v>
                </c:pt>
                <c:pt idx="44">
                  <c:v>-31.822240762812655</c:v>
                </c:pt>
                <c:pt idx="45">
                  <c:v>-34.418445108935153</c:v>
                </c:pt>
                <c:pt idx="46">
                  <c:v>-37.149225204962939</c:v>
                </c:pt>
                <c:pt idx="47">
                  <c:v>-40.005327259751347</c:v>
                </c:pt>
                <c:pt idx="48">
                  <c:v>-42.974592014725779</c:v>
                </c:pt>
                <c:pt idx="49">
                  <c:v>-46.042213761216793</c:v>
                </c:pt>
                <c:pt idx="50">
                  <c:v>-49.191214346399704</c:v>
                </c:pt>
                <c:pt idx="51">
                  <c:v>-52.403107567911121</c:v>
                </c:pt>
                <c:pt idx="52">
                  <c:v>-55.658697087706777</c:v>
                </c:pt>
                <c:pt idx="53">
                  <c:v>-58.938925335230635</c:v>
                </c:pt>
                <c:pt idx="54">
                  <c:v>-62.225678829307107</c:v>
                </c:pt>
                <c:pt idx="55">
                  <c:v>-65.502460670438907</c:v>
                </c:pt>
                <c:pt idx="56">
                  <c:v>-68.754862703675585</c:v>
                </c:pt>
                <c:pt idx="57">
                  <c:v>-71.970802859779837</c:v>
                </c:pt>
                <c:pt idx="58">
                  <c:v>-75.140530087587294</c:v>
                </c:pt>
                <c:pt idx="59">
                  <c:v>-78.256433062840131</c:v>
                </c:pt>
                <c:pt idx="60">
                  <c:v>-81.31271460347763</c:v>
                </c:pt>
                <c:pt idx="61">
                  <c:v>-84.305009132109305</c:v>
                </c:pt>
                <c:pt idx="62">
                  <c:v>-87.230025166338379</c:v>
                </c:pt>
                <c:pt idx="63">
                  <c:v>-90.085288955009247</c:v>
                </c:pt>
                <c:pt idx="64">
                  <c:v>-92.869049188619826</c:v>
                </c:pt>
                <c:pt idx="65">
                  <c:v>-95.580376361968106</c:v>
                </c:pt>
                <c:pt idx="66">
                  <c:v>-98.219454999041773</c:v>
                </c:pt>
                <c:pt idx="67">
                  <c:v>-100.78802604851894</c:v>
                </c:pt>
                <c:pt idx="68">
                  <c:v>-103.28989698528981</c:v>
                </c:pt>
                <c:pt idx="69">
                  <c:v>-105.73140772418657</c:v>
                </c:pt>
                <c:pt idx="70">
                  <c:v>-108.12173067247819</c:v>
                </c:pt>
                <c:pt idx="71">
                  <c:v>-110.47289888187993</c:v>
                </c:pt>
                <c:pt idx="72">
                  <c:v>-112.79949639026131</c:v>
                </c:pt>
                <c:pt idx="73">
                  <c:v>-115.11800107529155</c:v>
                </c:pt>
                <c:pt idx="74">
                  <c:v>-117.44582922783106</c:v>
                </c:pt>
                <c:pt idx="75">
                  <c:v>-119.80017882335306</c:v>
                </c:pt>
                <c:pt idx="76">
                  <c:v>-122.19679581727229</c:v>
                </c:pt>
                <c:pt idx="77">
                  <c:v>-124.64879236838489</c:v>
                </c:pt>
                <c:pt idx="78">
                  <c:v>-127.16563156507281</c:v>
                </c:pt>
                <c:pt idx="79">
                  <c:v>-129.75236689920041</c:v>
                </c:pt>
                <c:pt idx="80">
                  <c:v>-132.40919277212797</c:v>
                </c:pt>
                <c:pt idx="81">
                  <c:v>-135.13132840829329</c:v>
                </c:pt>
                <c:pt idx="82">
                  <c:v>-137.9092227427021</c:v>
                </c:pt>
                <c:pt idx="83">
                  <c:v>-140.72903226738049</c:v>
                </c:pt>
                <c:pt idx="84">
                  <c:v>-143.57328867437218</c:v>
                </c:pt>
                <c:pt idx="85">
                  <c:v>-146.42164157486746</c:v>
                </c:pt>
                <c:pt idx="86">
                  <c:v>-149.25153773878699</c:v>
                </c:pt>
                <c:pt idx="87">
                  <c:v>-152.0386848141419</c:v>
                </c:pt>
                <c:pt idx="88">
                  <c:v>-154.75714260864609</c:v>
                </c:pt>
                <c:pt idx="89">
                  <c:v>-157.378880518675</c:v>
                </c:pt>
                <c:pt idx="90">
                  <c:v>-159.87261966599846</c:v>
                </c:pt>
                <c:pt idx="91">
                  <c:v>-162.2017175473998</c:v>
                </c:pt>
                <c:pt idx="92">
                  <c:v>-164.32071196260924</c:v>
                </c:pt>
                <c:pt idx="93">
                  <c:v>-166.16985233140264</c:v>
                </c:pt>
                <c:pt idx="94">
                  <c:v>-167.66638504222036</c:v>
                </c:pt>
                <c:pt idx="95">
                  <c:v>-168.69028119559815</c:v>
                </c:pt>
                <c:pt idx="96">
                  <c:v>-169.06003020355919</c:v>
                </c:pt>
                <c:pt idx="97">
                  <c:v>-168.49027955980125</c:v>
                </c:pt>
                <c:pt idx="98">
                  <c:v>-166.51693117486226</c:v>
                </c:pt>
                <c:pt idx="99">
                  <c:v>-162.37207760048625</c:v>
                </c:pt>
                <c:pt idx="100">
                  <c:v>-154.83579488498654</c:v>
                </c:pt>
                <c:pt idx="101">
                  <c:v>-142.39964183776482</c:v>
                </c:pt>
                <c:pt idx="102">
                  <c:v>-124.90340082823974</c:v>
                </c:pt>
                <c:pt idx="103">
                  <c:v>-142.82464738069663</c:v>
                </c:pt>
                <c:pt idx="104">
                  <c:v>-162.99380545277779</c:v>
                </c:pt>
                <c:pt idx="105">
                  <c:v>-177.99245410243694</c:v>
                </c:pt>
                <c:pt idx="106">
                  <c:v>-170.90306088366216</c:v>
                </c:pt>
                <c:pt idx="107">
                  <c:v>-162.32863256247884</c:v>
                </c:pt>
                <c:pt idx="108">
                  <c:v>-155.38694374026664</c:v>
                </c:pt>
                <c:pt idx="109">
                  <c:v>-149.54390504410131</c:v>
                </c:pt>
                <c:pt idx="110">
                  <c:v>-144.48365574809662</c:v>
                </c:pt>
                <c:pt idx="111">
                  <c:v>-140.01535917431127</c:v>
                </c:pt>
                <c:pt idx="112">
                  <c:v>-136.02009466401381</c:v>
                </c:pt>
                <c:pt idx="113">
                  <c:v>-132.42099646063818</c:v>
                </c:pt>
                <c:pt idx="114">
                  <c:v>-129.16622506821099</c:v>
                </c:pt>
                <c:pt idx="115">
                  <c:v>-126.21907847637479</c:v>
                </c:pt>
                <c:pt idx="116">
                  <c:v>-123.55216843259393</c:v>
                </c:pt>
                <c:pt idx="117">
                  <c:v>-121.14396601870813</c:v>
                </c:pt>
                <c:pt idx="118">
                  <c:v>-118.97675309357572</c:v>
                </c:pt>
                <c:pt idx="119">
                  <c:v>-117.03541635792037</c:v>
                </c:pt>
                <c:pt idx="120">
                  <c:v>-115.3067472777979</c:v>
                </c:pt>
                <c:pt idx="121">
                  <c:v>-113.77904361388634</c:v>
                </c:pt>
                <c:pt idx="122">
                  <c:v>-112.44188794395518</c:v>
                </c:pt>
                <c:pt idx="123">
                  <c:v>-111.28602729644197</c:v>
                </c:pt>
                <c:pt idx="124">
                  <c:v>-110.30330807786217</c:v>
                </c:pt>
                <c:pt idx="125">
                  <c:v>-109.48663899851012</c:v>
                </c:pt>
                <c:pt idx="126">
                  <c:v>-108.82996597762714</c:v>
                </c:pt>
                <c:pt idx="127">
                  <c:v>-108.32824970536372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82AB-4144-8F62-F58A7738F5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0914991"/>
        <c:axId val="280924559"/>
      </c:scatterChart>
      <c:valAx>
        <c:axId val="346961376"/>
        <c:scaling>
          <c:logBase val="10"/>
          <c:orientation val="minMax"/>
          <c:max val="10000000"/>
          <c:min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tint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latin typeface="Times New Roman" pitchFamily="18" charset="0"/>
                    <a:cs typeface="Times New Roman" pitchFamily="18" charset="0"/>
                  </a:rPr>
                  <a:t>Frequency (kHz)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n-US"/>
          </a:p>
        </c:txPr>
        <c:crossAx val="346959416"/>
        <c:crossesAt val="-80"/>
        <c:crossBetween val="midCat"/>
        <c:dispUnits>
          <c:builtInUnit val="thousands"/>
        </c:dispUnits>
      </c:valAx>
      <c:valAx>
        <c:axId val="346959416"/>
        <c:scaling>
          <c:orientation val="minMax"/>
          <c:max val="30"/>
          <c:min val="-60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rgbClr val="0000FF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r>
                  <a:rPr lang="en-US" sz="1200">
                    <a:solidFill>
                      <a:srgbClr val="0000FF"/>
                    </a:solidFill>
                    <a:latin typeface="Times New Roman" pitchFamily="18" charset="0"/>
                    <a:cs typeface="Times New Roman" pitchFamily="18" charset="0"/>
                  </a:rPr>
                  <a:t>Magnitude (dB)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n-US"/>
          </a:p>
        </c:txPr>
        <c:crossAx val="346961376"/>
        <c:crosses val="autoZero"/>
        <c:crossBetween val="midCat"/>
      </c:valAx>
      <c:valAx>
        <c:axId val="280924559"/>
        <c:scaling>
          <c:orientation val="minMax"/>
          <c:max val="0"/>
          <c:min val="-180"/>
        </c:scaling>
        <c:delete val="0"/>
        <c:axPos val="r"/>
        <c:title>
          <c:tx>
            <c:rich>
              <a:bodyPr/>
              <a:lstStyle/>
              <a:p>
                <a:pPr>
                  <a:defRPr sz="1400">
                    <a:solidFill>
                      <a:srgbClr val="00B05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400">
                    <a:solidFill>
                      <a:srgbClr val="00B05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Phase</a:t>
                </a:r>
                <a:r>
                  <a:rPr lang="en-US" sz="1400" baseline="0">
                    <a:solidFill>
                      <a:srgbClr val="00B05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(deg)</a:t>
                </a:r>
                <a:endParaRPr lang="en-US" sz="1400">
                  <a:solidFill>
                    <a:srgbClr val="00B050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280914991"/>
        <c:crosses val="max"/>
        <c:crossBetween val="midCat"/>
        <c:majorUnit val="20"/>
      </c:valAx>
      <c:valAx>
        <c:axId val="280914991"/>
        <c:scaling>
          <c:logBase val="10"/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280924559"/>
        <c:crosses val="autoZero"/>
        <c:crossBetween val="midCat"/>
      </c:valAx>
      <c:spPr>
        <a:solidFill>
          <a:schemeClr val="bg1"/>
        </a:solidFill>
        <a:ln w="25400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11607741011887622"/>
          <c:y val="0.52889029992726311"/>
          <c:w val="7.9803931734449135E-2"/>
          <c:h val="0.12393461894965298"/>
        </c:manualLayout>
      </c:layout>
      <c:overlay val="0"/>
      <c:spPr>
        <a:solidFill>
          <a:schemeClr val="bg1"/>
        </a:solidFill>
      </c:spPr>
      <c:txPr>
        <a:bodyPr/>
        <a:lstStyle/>
        <a:p>
          <a:pPr>
            <a:defRPr sz="1200" baseline="0"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aseline="0">
                <a:latin typeface="Times New Roman" pitchFamily="18" charset="0"/>
                <a:cs typeface="Times New Roman" pitchFamily="18" charset="0"/>
              </a:rPr>
              <a:t>Compensation (user=solid, suggested=dotted)</a:t>
            </a:r>
            <a:endParaRPr lang="en-US">
              <a:latin typeface="Times New Roman" pitchFamily="18" charset="0"/>
              <a:cs typeface="Times New Roman" pitchFamily="18" charset="0"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9557401236081441E-2"/>
          <c:y val="0.10324218407476761"/>
          <c:w val="0.81987634799210973"/>
          <c:h val="0.80501495099944076"/>
        </c:manualLayout>
      </c:layout>
      <c:scatterChart>
        <c:scatterStyle val="smoothMarker"/>
        <c:varyColors val="0"/>
        <c:ser>
          <c:idx val="7"/>
          <c:order val="0"/>
          <c:tx>
            <c:v>gain</c:v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Bode_Plot!$AK$50:$AK$177</c:f>
              <c:numCache>
                <c:formatCode>0.0</c:formatCode>
                <c:ptCount val="128"/>
                <c:pt idx="0">
                  <c:v>83.208549272749764</c:v>
                </c:pt>
                <c:pt idx="1">
                  <c:v>69.208557547363128</c:v>
                </c:pt>
                <c:pt idx="2">
                  <c:v>63.208583237250011</c:v>
                </c:pt>
                <c:pt idx="3">
                  <c:v>62.408590176431737</c:v>
                </c:pt>
                <c:pt idx="4">
                  <c:v>61.608598519153745</c:v>
                </c:pt>
                <c:pt idx="5">
                  <c:v>60.808608549298164</c:v>
                </c:pt>
                <c:pt idx="6">
                  <c:v>60.008620608164584</c:v>
                </c:pt>
                <c:pt idx="7">
                  <c:v>59.208635106082561</c:v>
                </c:pt>
                <c:pt idx="8">
                  <c:v>58.40865253637304</c:v>
                </c:pt>
                <c:pt idx="9">
                  <c:v>57.608673492132397</c:v>
                </c:pt>
                <c:pt idx="10">
                  <c:v>56.808698686411375</c:v>
                </c:pt>
                <c:pt idx="11">
                  <c:v>56.008728976473847</c:v>
                </c:pt>
                <c:pt idx="12">
                  <c:v>55.208765392960757</c:v>
                </c:pt>
                <c:pt idx="13">
                  <c:v>54.40880917495052</c:v>
                </c:pt>
                <c:pt idx="14">
                  <c:v>53.608861812107989</c:v>
                </c:pt>
                <c:pt idx="15">
                  <c:v>52.808925095352912</c:v>
                </c:pt>
                <c:pt idx="16">
                  <c:v>52.00900117777087</c:v>
                </c:pt>
                <c:pt idx="17">
                  <c:v>51.209092647833387</c:v>
                </c:pt>
                <c:pt idx="18">
                  <c:v>50.409202617413641</c:v>
                </c:pt>
                <c:pt idx="19">
                  <c:v>49.609334827583368</c:v>
                </c:pt>
                <c:pt idx="20">
                  <c:v>48.809493775778272</c:v>
                </c:pt>
                <c:pt idx="21">
                  <c:v>48.009684868640001</c:v>
                </c:pt>
                <c:pt idx="22">
                  <c:v>47.209914605709137</c:v>
                </c:pt>
                <c:pt idx="23">
                  <c:v>46.410190800180743</c:v>
                </c:pt>
                <c:pt idx="24">
                  <c:v>45.610522844176806</c:v>
                </c:pt>
                <c:pt idx="25">
                  <c:v>44.810922027482299</c:v>
                </c:pt>
                <c:pt idx="26">
                  <c:v>44.011401920471378</c:v>
                </c:pt>
                <c:pt idx="27">
                  <c:v>43.211978834084931</c:v>
                </c:pt>
                <c:pt idx="28">
                  <c:v>42.412672372263671</c:v>
                </c:pt>
                <c:pt idx="29">
                  <c:v>41.613506095282006</c:v>
                </c:pt>
                <c:pt idx="30">
                  <c:v>40.814508316039053</c:v>
                </c:pt>
                <c:pt idx="31">
                  <c:v>40.015713055664854</c:v>
                </c:pt>
                <c:pt idx="32">
                  <c:v>39.217161189888621</c:v>
                </c:pt>
                <c:pt idx="33">
                  <c:v>38.418901823638258</c:v>
                </c:pt>
                <c:pt idx="34">
                  <c:v>37.620993938421947</c:v>
                </c:pt>
                <c:pt idx="35">
                  <c:v>36.823508365348964</c:v>
                </c:pt>
                <c:pt idx="36">
                  <c:v>36.026530146314762</c:v>
                </c:pt>
                <c:pt idx="37">
                  <c:v>35.230161357061441</c:v>
                </c:pt>
                <c:pt idx="38">
                  <c:v>34.43452447863578</c:v>
                </c:pt>
                <c:pt idx="39">
                  <c:v>33.639766418267016</c:v>
                </c:pt>
                <c:pt idx="40">
                  <c:v>32.846063296833293</c:v>
                </c:pt>
                <c:pt idx="41">
                  <c:v>32.053626137682073</c:v>
                </c:pt>
                <c:pt idx="42">
                  <c:v>31.26270761015585</c:v>
                </c:pt>
                <c:pt idx="43">
                  <c:v>30.473609999927373</c:v>
                </c:pt>
                <c:pt idx="44">
                  <c:v>29.686694595774913</c:v>
                </c:pt>
                <c:pt idx="45">
                  <c:v>28.902392696571013</c:v>
                </c:pt>
                <c:pt idx="46">
                  <c:v>28.121218449767923</c:v>
                </c:pt>
                <c:pt idx="47">
                  <c:v>27.343783728863077</c:v>
                </c:pt>
                <c:pt idx="48">
                  <c:v>26.57081523567555</c:v>
                </c:pt>
                <c:pt idx="49">
                  <c:v>25.803173964950084</c:v>
                </c:pt>
                <c:pt idx="50">
                  <c:v>25.041877082409819</c:v>
                </c:pt>
                <c:pt idx="51">
                  <c:v>24.28812212879982</c:v>
                </c:pt>
                <c:pt idx="52">
                  <c:v>23.543313255430924</c:v>
                </c:pt>
                <c:pt idx="53">
                  <c:v>22.809088904273949</c:v>
                </c:pt>
                <c:pt idx="54">
                  <c:v>22.087349953180212</c:v>
                </c:pt>
                <c:pt idx="55">
                  <c:v>21.380286847420493</c:v>
                </c:pt>
                <c:pt idx="56">
                  <c:v>20.690403641278387</c:v>
                </c:pt>
                <c:pt idx="57">
                  <c:v>20.020536213180563</c:v>
                </c:pt>
                <c:pt idx="58">
                  <c:v>19.373861268407602</c:v>
                </c:pt>
                <c:pt idx="59">
                  <c:v>18.753892226201568</c:v>
                </c:pt>
                <c:pt idx="60">
                  <c:v>18.16445787274418</c:v>
                </c:pt>
                <c:pt idx="61">
                  <c:v>17.609659948506032</c:v>
                </c:pt>
                <c:pt idx="62">
                  <c:v>17.093806815651057</c:v>
                </c:pt>
                <c:pt idx="63">
                  <c:v>16.621322122531058</c:v>
                </c:pt>
                <c:pt idx="64">
                  <c:v>16.196629883548649</c:v>
                </c:pt>
                <c:pt idx="65">
                  <c:v>15.824020327841506</c:v>
                </c:pt>
                <c:pt idx="66">
                  <c:v>15.507503718266536</c:v>
                </c:pt>
                <c:pt idx="67">
                  <c:v>15.250661471499644</c:v>
                </c:pt>
                <c:pt idx="68">
                  <c:v>15.056504791688539</c:v>
                </c:pt>
                <c:pt idx="69">
                  <c:v>14.927350466851248</c:v>
                </c:pt>
                <c:pt idx="70">
                  <c:v>14.864721718586527</c:v>
                </c:pt>
                <c:pt idx="71">
                  <c:v>14.869279636603759</c:v>
                </c:pt>
                <c:pt idx="72">
                  <c:v>14.940788412752879</c:v>
                </c:pt>
                <c:pt idx="73">
                  <c:v>15.078115673055304</c:v>
                </c:pt>
                <c:pt idx="74">
                  <c:v>15.279267613189784</c:v>
                </c:pt>
                <c:pt idx="75">
                  <c:v>15.541456999070975</c:v>
                </c:pt>
                <c:pt idx="76">
                  <c:v>15.861200071901058</c:v>
                </c:pt>
                <c:pt idx="77">
                  <c:v>16.234436026101115</c:v>
                </c:pt>
                <c:pt idx="78">
                  <c:v>16.656660464097417</c:v>
                </c:pt>
                <c:pt idx="79">
                  <c:v>17.123062742194236</c:v>
                </c:pt>
                <c:pt idx="80">
                  <c:v>17.628656944065646</c:v>
                </c:pt>
                <c:pt idx="81">
                  <c:v>18.168397500050212</c:v>
                </c:pt>
                <c:pt idx="82">
                  <c:v>18.73727292487359</c:v>
                </c:pt>
                <c:pt idx="83">
                  <c:v>19.330374208455915</c:v>
                </c:pt>
                <c:pt idx="84">
                  <c:v>19.942937456207737</c:v>
                </c:pt>
                <c:pt idx="85">
                  <c:v>20.570362978195021</c:v>
                </c:pt>
                <c:pt idx="86">
                  <c:v>21.208214945164499</c:v>
                </c:pt>
                <c:pt idx="87">
                  <c:v>21.852206950777195</c:v>
                </c:pt>
                <c:pt idx="88">
                  <c:v>22.498179462837314</c:v>
                </c:pt>
                <c:pt idx="89">
                  <c:v>23.142075369622361</c:v>
                </c:pt>
                <c:pt idx="90">
                  <c:v>23.779919750651462</c:v>
                </c:pt>
                <c:pt idx="91">
                  <c:v>24.407809660631653</c:v>
                </c:pt>
                <c:pt idx="92">
                  <c:v>25.021919050391141</c:v>
                </c:pt>
                <c:pt idx="93">
                  <c:v>25.618522822044078</c:v>
                </c:pt>
                <c:pt idx="94">
                  <c:v>26.194042267395922</c:v>
                </c:pt>
                <c:pt idx="95">
                  <c:v>26.745111672107967</c:v>
                </c:pt>
                <c:pt idx="96">
                  <c:v>27.26866275533521</c:v>
                </c:pt>
                <c:pt idx="97">
                  <c:v>27.762020186432469</c:v>
                </c:pt>
                <c:pt idx="98">
                  <c:v>28.222998290699273</c:v>
                </c:pt>
                <c:pt idx="99">
                  <c:v>28.649987026325164</c:v>
                </c:pt>
                <c:pt idx="100">
                  <c:v>29.042015144639585</c:v>
                </c:pt>
                <c:pt idx="101">
                  <c:v>29.398780549767402</c:v>
                </c:pt>
                <c:pt idx="102">
                  <c:v>29.720642072082232</c:v>
                </c:pt>
                <c:pt idx="103">
                  <c:v>30.008572341461971</c:v>
                </c:pt>
                <c:pt idx="104">
                  <c:v>30.264076949702687</c:v>
                </c:pt>
                <c:pt idx="105">
                  <c:v>30.489089377350179</c:v>
                </c:pt>
                <c:pt idx="106">
                  <c:v>30.68585338922588</c:v>
                </c:pt>
                <c:pt idx="107">
                  <c:v>30.856804576002226</c:v>
                </c:pt>
                <c:pt idx="108">
                  <c:v>31.004460840933344</c:v>
                </c:pt>
                <c:pt idx="109">
                  <c:v>31.131328666375552</c:v>
                </c:pt>
                <c:pt idx="110">
                  <c:v>31.239828764487079</c:v>
                </c:pt>
                <c:pt idx="111">
                  <c:v>31.332241861360636</c:v>
                </c:pt>
                <c:pt idx="112">
                  <c:v>31.410673241964151</c:v>
                </c:pt>
                <c:pt idx="113">
                  <c:v>31.47703338522512</c:v>
                </c:pt>
                <c:pt idx="114">
                  <c:v>31.533031449219596</c:v>
                </c:pt>
                <c:pt idx="115">
                  <c:v>31.580178339957342</c:v>
                </c:pt>
                <c:pt idx="116">
                  <c:v>31.619796412889151</c:v>
                </c:pt>
                <c:pt idx="117">
                  <c:v>31.653033342773895</c:v>
                </c:pt>
                <c:pt idx="118">
                  <c:v>31.680878230829649</c:v>
                </c:pt>
                <c:pt idx="119">
                  <c:v>31.704178520684145</c:v>
                </c:pt>
                <c:pt idx="120">
                  <c:v>31.723656726613008</c:v>
                </c:pt>
                <c:pt idx="121">
                  <c:v>31.739926325069007</c:v>
                </c:pt>
                <c:pt idx="122">
                  <c:v>31.753506425588618</c:v>
                </c:pt>
                <c:pt idx="123">
                  <c:v>31.764835029995378</c:v>
                </c:pt>
                <c:pt idx="124">
                  <c:v>31.774280822625663</c:v>
                </c:pt>
                <c:pt idx="125">
                  <c:v>31.782153522338511</c:v>
                </c:pt>
                <c:pt idx="126">
                  <c:v>31.788712881094895</c:v>
                </c:pt>
                <c:pt idx="127">
                  <c:v>31.794176443600392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D7-4437-B0ED-EE16F2B59955}"/>
            </c:ext>
          </c:extLst>
        </c:ser>
        <c:ser>
          <c:idx val="1"/>
          <c:order val="2"/>
          <c:tx>
            <c:v>.</c:v>
          </c:tx>
          <c:spPr>
            <a:ln w="25400">
              <a:solidFill>
                <a:srgbClr val="0000FF"/>
              </a:solidFill>
              <a:prstDash val="sysDash"/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Bode_Plot!$BB$50:$BB$177</c:f>
              <c:numCache>
                <c:formatCode>0.0</c:formatCode>
                <c:ptCount val="128"/>
                <c:pt idx="0">
                  <c:v>77.572183407560587</c:v>
                </c:pt>
                <c:pt idx="1">
                  <c:v>63.572202820083191</c:v>
                </c:pt>
                <c:pt idx="2">
                  <c:v>57.572263089287361</c:v>
                </c:pt>
                <c:pt idx="3">
                  <c:v>56.77227936876838</c:v>
                </c:pt>
                <c:pt idx="4">
                  <c:v>55.972298940967079</c:v>
                </c:pt>
                <c:pt idx="5">
                  <c:v>55.172322471864376</c:v>
                </c:pt>
                <c:pt idx="6">
                  <c:v>54.372350762136932</c:v>
                </c:pt>
                <c:pt idx="7">
                  <c:v>53.572384774397726</c:v>
                </c:pt>
                <c:pt idx="8">
                  <c:v>52.772425665944589</c:v>
                </c:pt>
                <c:pt idx="9">
                  <c:v>51.972474828130125</c:v>
                </c:pt>
                <c:pt idx="10">
                  <c:v>51.172533933691653</c:v>
                </c:pt>
                <c:pt idx="11">
                  <c:v>50.372604993648508</c:v>
                </c:pt>
                <c:pt idx="12">
                  <c:v>49.572690425701531</c:v>
                </c:pt>
                <c:pt idx="13">
                  <c:v>48.772793136455533</c:v>
                </c:pt>
                <c:pt idx="14">
                  <c:v>47.972916620258346</c:v>
                </c:pt>
                <c:pt idx="15">
                  <c:v>47.173065078009024</c:v>
                </c:pt>
                <c:pt idx="16">
                  <c:v>46.373243559965175</c:v>
                </c:pt>
                <c:pt idx="17">
                  <c:v>45.573458137388954</c:v>
                </c:pt>
                <c:pt idx="18">
                  <c:v>44.773716108845328</c:v>
                </c:pt>
                <c:pt idx="19">
                  <c:v>43.974026248131224</c:v>
                </c:pt>
                <c:pt idx="20">
                  <c:v>43.174399102213037</c:v>
                </c:pt>
                <c:pt idx="21">
                  <c:v>42.374847349227295</c:v>
                </c:pt>
                <c:pt idx="22">
                  <c:v>41.575386228603108</c:v>
                </c:pt>
                <c:pt idx="23">
                  <c:v>40.776034057765791</c:v>
                </c:pt>
                <c:pt idx="24">
                  <c:v>39.976812852748537</c:v>
                </c:pt>
                <c:pt idx="25">
                  <c:v>39.17774907346169</c:v>
                </c:pt>
                <c:pt idx="26">
                  <c:v>38.378874518445826</c:v>
                </c:pt>
                <c:pt idx="27">
                  <c:v>37.580227398786363</c:v>
                </c:pt>
                <c:pt idx="28">
                  <c:v>36.781853626621427</c:v>
                </c:pt>
                <c:pt idx="29">
                  <c:v>35.983808360485895</c:v>
                </c:pt>
                <c:pt idx="30">
                  <c:v>35.186157857764009</c:v>
                </c:pt>
                <c:pt idx="31">
                  <c:v>34.38898169395187</c:v>
                </c:pt>
                <c:pt idx="32">
                  <c:v>33.592375419441737</c:v>
                </c:pt>
                <c:pt idx="33">
                  <c:v>32.796453737313428</c:v>
                </c:pt>
                <c:pt idx="34">
                  <c:v>32.00135430030646</c:v>
                </c:pt>
                <c:pt idx="35">
                  <c:v>31.207242241854498</c:v>
                </c:pt>
                <c:pt idx="36">
                  <c:v>30.414315574791626</c:v>
                </c:pt>
                <c:pt idx="37">
                  <c:v>29.622811611925385</c:v>
                </c:pt>
                <c:pt idx="38">
                  <c:v>28.833014584678821</c:v>
                </c:pt>
                <c:pt idx="39">
                  <c:v>28.045264658607326</c:v>
                </c:pt>
                <c:pt idx="40">
                  <c:v>27.259968566340966</c:v>
                </c:pt>
                <c:pt idx="41">
                  <c:v>26.477612097087004</c:v>
                </c:pt>
                <c:pt idx="42">
                  <c:v>25.69877469370164</c:v>
                </c:pt>
                <c:pt idx="43">
                  <c:v>24.924146408261095</c:v>
                </c:pt>
                <c:pt idx="44">
                  <c:v>24.154547447540565</c:v>
                </c:pt>
                <c:pt idx="45">
                  <c:v>23.390950490422711</c:v>
                </c:pt>
                <c:pt idx="46">
                  <c:v>22.634505866019893</c:v>
                </c:pt>
                <c:pt idx="47">
                  <c:v>21.886569526078471</c:v>
                </c:pt>
                <c:pt idx="48">
                  <c:v>21.148733505679218</c:v>
                </c:pt>
                <c:pt idx="49">
                  <c:v>20.422858216467937</c:v>
                </c:pt>
                <c:pt idx="50">
                  <c:v>19.711105429663803</c:v>
                </c:pt>
                <c:pt idx="51">
                  <c:v>19.01597015871026</c:v>
                </c:pt>
                <c:pt idx="52">
                  <c:v>18.340308833192623</c:v>
                </c:pt>
                <c:pt idx="53">
                  <c:v>17.687360182471995</c:v>
                </c:pt>
                <c:pt idx="54">
                  <c:v>17.060754180846217</c:v>
                </c:pt>
                <c:pt idx="55">
                  <c:v>16.464503375536694</c:v>
                </c:pt>
                <c:pt idx="56">
                  <c:v>15.90297014299917</c:v>
                </c:pt>
                <c:pt idx="57">
                  <c:v>15.38080321346885</c:v>
                </c:pt>
                <c:pt idx="58">
                  <c:v>14.902837558983277</c:v>
                </c:pt>
                <c:pt idx="59">
                  <c:v>14.473953851313858</c:v>
                </c:pt>
                <c:pt idx="60">
                  <c:v>14.098897429899473</c:v>
                </c:pt>
                <c:pt idx="61">
                  <c:v>13.782062031344438</c:v>
                </c:pt>
                <c:pt idx="62">
                  <c:v>13.527249883987082</c:v>
                </c:pt>
                <c:pt idx="63">
                  <c:v>13.337426050110173</c:v>
                </c:pt>
                <c:pt idx="64">
                  <c:v>13.214489541330305</c:v>
                </c:pt>
                <c:pt idx="65">
                  <c:v>13.159085121109914</c:v>
                </c:pt>
                <c:pt idx="66">
                  <c:v>13.170476759124183</c:v>
                </c:pt>
                <c:pt idx="67">
                  <c:v>13.246496425452838</c:v>
                </c:pt>
                <c:pt idx="68">
                  <c:v>13.38357163585534</c:v>
                </c:pt>
                <c:pt idx="69">
                  <c:v>13.576824226444227</c:v>
                </c:pt>
                <c:pt idx="70">
                  <c:v>13.82022385055118</c:v>
                </c:pt>
                <c:pt idx="71">
                  <c:v>14.106774637578148</c:v>
                </c:pt>
                <c:pt idx="72">
                  <c:v>14.428713103195738</c:v>
                </c:pt>
                <c:pt idx="73">
                  <c:v>14.777699227415034</c:v>
                </c:pt>
                <c:pt idx="74">
                  <c:v>15.144989185398925</c:v>
                </c:pt>
                <c:pt idx="75">
                  <c:v>15.521585763283385</c:v>
                </c:pt>
                <c:pt idx="76">
                  <c:v>15.898369433182815</c:v>
                </c:pt>
                <c:pt idx="77">
                  <c:v>16.266218254702999</c:v>
                </c:pt>
                <c:pt idx="78">
                  <c:v>16.616127542493761</c:v>
                </c:pt>
                <c:pt idx="79">
                  <c:v>16.939340295924797</c:v>
                </c:pt>
                <c:pt idx="80">
                  <c:v>17.227496722332557</c:v>
                </c:pt>
                <c:pt idx="81">
                  <c:v>17.472806081001689</c:v>
                </c:pt>
                <c:pt idx="82">
                  <c:v>17.668237185658974</c:v>
                </c:pt>
                <c:pt idx="83">
                  <c:v>17.807716352024009</c:v>
                </c:pt>
                <c:pt idx="84">
                  <c:v>17.886314933751759</c:v>
                </c:pt>
                <c:pt idx="85">
                  <c:v>17.900404618292271</c:v>
                </c:pt>
                <c:pt idx="86">
                  <c:v>17.847758815322294</c:v>
                </c:pt>
                <c:pt idx="87">
                  <c:v>17.727583336704363</c:v>
                </c:pt>
                <c:pt idx="88">
                  <c:v>17.540468423518114</c:v>
                </c:pt>
                <c:pt idx="89">
                  <c:v>17.288265078630346</c:v>
                </c:pt>
                <c:pt idx="90">
                  <c:v>16.973899017593844</c:v>
                </c:pt>
                <c:pt idx="91">
                  <c:v>16.601142984986385</c:v>
                </c:pt>
                <c:pt idx="92">
                  <c:v>16.174371318744882</c:v>
                </c:pt>
                <c:pt idx="93">
                  <c:v>15.698319418789337</c:v>
                </c:pt>
                <c:pt idx="94">
                  <c:v>15.177866236258533</c:v>
                </c:pt>
                <c:pt idx="95">
                  <c:v>14.61785165484638</c:v>
                </c:pt>
                <c:pt idx="96">
                  <c:v>14.022934261071525</c:v>
                </c:pt>
                <c:pt idx="97">
                  <c:v>13.397489631843442</c:v>
                </c:pt>
                <c:pt idx="98">
                  <c:v>12.745545465748776</c:v>
                </c:pt>
                <c:pt idx="99">
                  <c:v>12.070747710642751</c:v>
                </c:pt>
                <c:pt idx="100">
                  <c:v>11.376351036701335</c:v>
                </c:pt>
                <c:pt idx="101">
                  <c:v>10.665227178353101</c:v>
                </c:pt>
                <c:pt idx="102">
                  <c:v>9.9398854278003927</c:v>
                </c:pt>
                <c:pt idx="103">
                  <c:v>9.2025005878757735</c:v>
                </c:pt>
                <c:pt idx="104">
                  <c:v>8.4549447602301004</c:v>
                </c:pt>
                <c:pt idx="105">
                  <c:v>7.6988203234383681</c:v>
                </c:pt>
                <c:pt idx="106">
                  <c:v>6.9354922807510615</c:v>
                </c:pt>
                <c:pt idx="107">
                  <c:v>6.166118811509941</c:v>
                </c:pt>
                <c:pt idx="108">
                  <c:v>5.3916793534025631</c:v>
                </c:pt>
                <c:pt idx="109">
                  <c:v>4.6129998975967519</c:v>
                </c:pt>
                <c:pt idx="110">
                  <c:v>3.8307754223405799</c:v>
                </c:pt>
                <c:pt idx="111">
                  <c:v>3.0455895488109586</c:v>
                </c:pt>
                <c:pt idx="112">
                  <c:v>2.2579315983875503</c:v>
                </c:pt>
                <c:pt idx="113">
                  <c:v>1.4682112814055608</c:v>
                </c:pt>
                <c:pt idx="114">
                  <c:v>0.67677126796289411</c:v>
                </c:pt>
                <c:pt idx="115">
                  <c:v>-0.11610210793870035</c:v>
                </c:pt>
                <c:pt idx="116">
                  <c:v>-0.91016977113337838</c:v>
                </c:pt>
                <c:pt idx="117">
                  <c:v>-1.7052322335202597</c:v>
                </c:pt>
                <c:pt idx="118">
                  <c:v>-2.5011231280570505</c:v>
                </c:pt>
                <c:pt idx="119">
                  <c:v>-3.2977037713940054</c:v>
                </c:pt>
                <c:pt idx="120">
                  <c:v>-4.0948586000754323</c:v>
                </c:pt>
                <c:pt idx="121">
                  <c:v>-4.8924913458938528</c:v>
                </c:pt>
                <c:pt idx="122">
                  <c:v>-5.6905218347843505</c:v>
                </c:pt>
                <c:pt idx="123">
                  <c:v>-6.4888833104442858</c:v>
                </c:pt>
                <c:pt idx="124">
                  <c:v>-7.287520198628048</c:v>
                </c:pt>
                <c:pt idx="125">
                  <c:v>-8.0863862409201683</c:v>
                </c:pt>
                <c:pt idx="126">
                  <c:v>-8.8854429378649815</c:v>
                </c:pt>
                <c:pt idx="127">
                  <c:v>-9.6846582508239312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D7-4437-B0ED-EE16F2B59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961376"/>
        <c:axId val="346959416"/>
      </c:scatterChart>
      <c:scatterChart>
        <c:scatterStyle val="smoothMarker"/>
        <c:varyColors val="0"/>
        <c:ser>
          <c:idx val="0"/>
          <c:order val="1"/>
          <c:tx>
            <c:v>phase</c:v>
          </c:tx>
          <c:spPr>
            <a:ln w="25400">
              <a:solidFill>
                <a:srgbClr val="00B050"/>
              </a:solidFill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Bode_Plot!$AL$50:$AL$177</c:f>
              <c:numCache>
                <c:formatCode>0.0</c:formatCode>
                <c:ptCount val="128"/>
                <c:pt idx="0">
                  <c:v>-89.978760000331434</c:v>
                </c:pt>
                <c:pt idx="1">
                  <c:v>-89.893547873301401</c:v>
                </c:pt>
                <c:pt idx="2">
                  <c:v>-89.787600331423405</c:v>
                </c:pt>
                <c:pt idx="3">
                  <c:v>-89.767108468040036</c:v>
                </c:pt>
                <c:pt idx="4">
                  <c:v>-89.744639610034312</c:v>
                </c:pt>
                <c:pt idx="5">
                  <c:v>-89.720003027975977</c:v>
                </c:pt>
                <c:pt idx="6">
                  <c:v>-89.692989593572733</c:v>
                </c:pt>
                <c:pt idx="7">
                  <c:v>-89.663370005335153</c:v>
                </c:pt>
                <c:pt idx="8">
                  <c:v>-89.630892843297033</c:v>
                </c:pt>
                <c:pt idx="9">
                  <c:v>-89.595282436374887</c:v>
                </c:pt>
                <c:pt idx="10">
                  <c:v>-89.556236524391124</c:v>
                </c:pt>
                <c:pt idx="11">
                  <c:v>-89.513423695083191</c:v>
                </c:pt>
                <c:pt idx="12">
                  <c:v>-89.466480574564272</c:v>
                </c:pt>
                <c:pt idx="13">
                  <c:v>-89.415008747680076</c:v>
                </c:pt>
                <c:pt idx="14">
                  <c:v>-89.358571382505787</c:v>
                </c:pt>
                <c:pt idx="15">
                  <c:v>-89.29668953084024</c:v>
                </c:pt>
                <c:pt idx="16">
                  <c:v>-89.22883807396569</c:v>
                </c:pt>
                <c:pt idx="17">
                  <c:v>-89.154441280144766</c:v>
                </c:pt>
                <c:pt idx="18">
                  <c:v>-89.072867937312765</c:v>
                </c:pt>
                <c:pt idx="19">
                  <c:v>-88.983426021189501</c:v>
                </c:pt>
                <c:pt idx="20">
                  <c:v>-88.885356855580667</c:v>
                </c:pt>
                <c:pt idx="21">
                  <c:v>-88.777828717975396</c:v>
                </c:pt>
                <c:pt idx="22">
                  <c:v>-88.659929839686939</c:v>
                </c:pt>
                <c:pt idx="23">
                  <c:v>-88.530660745766468</c:v>
                </c:pt>
                <c:pt idx="24">
                  <c:v>-88.388925875790193</c:v>
                </c:pt>
                <c:pt idx="25">
                  <c:v>-88.23352442245988</c:v>
                </c:pt>
                <c:pt idx="26">
                  <c:v>-88.06314032087468</c:v>
                </c:pt>
                <c:pt idx="27">
                  <c:v>-87.876331317489786</c:v>
                </c:pt>
                <c:pt idx="28">
                  <c:v>-87.671517044393639</c:v>
                </c:pt>
                <c:pt idx="29">
                  <c:v>-87.446966021915401</c:v>
                </c:pt>
                <c:pt idx="30">
                  <c:v>-87.200781511130828</c:v>
                </c:pt>
                <c:pt idx="31">
                  <c:v>-86.930886138124649</c:v>
                </c:pt>
                <c:pt idx="32">
                  <c:v>-86.635005214633537</c:v>
                </c:pt>
                <c:pt idx="33">
                  <c:v>-86.310648685927845</c:v>
                </c:pt>
                <c:pt idx="34">
                  <c:v>-85.955091647795143</c:v>
                </c:pt>
                <c:pt idx="35">
                  <c:v>-85.565353391982171</c:v>
                </c:pt>
                <c:pt idx="36">
                  <c:v>-85.138174965666622</c:v>
                </c:pt>
                <c:pt idx="37">
                  <c:v>-84.669995268371594</c:v>
                </c:pt>
                <c:pt idx="38">
                  <c:v>-84.156925762927131</c:v>
                </c:pt>
                <c:pt idx="39">
                  <c:v>-83.594723950391568</c:v>
                </c:pt>
                <c:pt idx="40">
                  <c:v>-82.978765858277583</c:v>
                </c:pt>
                <c:pt idx="41">
                  <c:v>-82.304017924486615</c:v>
                </c:pt>
                <c:pt idx="42">
                  <c:v>-81.565008835250268</c:v>
                </c:pt>
                <c:pt idx="43">
                  <c:v>-80.755802105192856</c:v>
                </c:pt>
                <c:pt idx="44">
                  <c:v>-79.869970484338197</c:v>
                </c:pt>
                <c:pt idx="45">
                  <c:v>-78.900573655089119</c:v>
                </c:pt>
                <c:pt idx="46">
                  <c:v>-77.840141157400978</c:v>
                </c:pt>
                <c:pt idx="47">
                  <c:v>-76.680663067376742</c:v>
                </c:pt>
                <c:pt idx="48">
                  <c:v>-75.413591664743095</c:v>
                </c:pt>
                <c:pt idx="49">
                  <c:v>-74.029858161544709</c:v>
                </c:pt>
                <c:pt idx="50">
                  <c:v>-72.519909516343247</c:v>
                </c:pt>
                <c:pt idx="51">
                  <c:v>-70.873771388453108</c:v>
                </c:pt>
                <c:pt idx="52">
                  <c:v>-69.081144319586713</c:v>
                </c:pt>
                <c:pt idx="53">
                  <c:v>-67.131541134058821</c:v>
                </c:pt>
                <c:pt idx="54">
                  <c:v>-65.014474117365666</c:v>
                </c:pt>
                <c:pt idx="55">
                  <c:v>-62.719700470904399</c:v>
                </c:pt>
                <c:pt idx="56">
                  <c:v>-60.23753345936553</c:v>
                </c:pt>
                <c:pt idx="57">
                  <c:v>-57.559224108054799</c:v>
                </c:pt>
                <c:pt idx="58">
                  <c:v>-54.677413806907666</c:v>
                </c:pt>
                <c:pt idx="59">
                  <c:v>-51.586651396027996</c:v>
                </c:pt>
                <c:pt idx="60">
                  <c:v>-48.283959221259707</c:v>
                </c:pt>
                <c:pt idx="61">
                  <c:v>-44.769421789816946</c:v>
                </c:pt>
                <c:pt idx="62">
                  <c:v>-41.046759321788315</c:v>
                </c:pt>
                <c:pt idx="63">
                  <c:v>-37.1238387955338</c:v>
                </c:pt>
                <c:pt idx="64">
                  <c:v>-33.013069690842009</c:v>
                </c:pt>
                <c:pt idx="65">
                  <c:v>-28.731633096790215</c:v>
                </c:pt>
                <c:pt idx="66">
                  <c:v>-24.301502623088052</c:v>
                </c:pt>
                <c:pt idx="67">
                  <c:v>-19.749233037318604</c:v>
                </c:pt>
                <c:pt idx="68">
                  <c:v>-15.10551475876971</c:v>
                </c:pt>
                <c:pt idx="69">
                  <c:v>-10.404514620091742</c:v>
                </c:pt>
                <c:pt idx="70">
                  <c:v>-5.6830410770717599</c:v>
                </c:pt>
                <c:pt idx="71">
                  <c:v>-0.97958275219763358</c:v>
                </c:pt>
                <c:pt idx="72">
                  <c:v>3.6667266657850424</c:v>
                </c:pt>
                <c:pt idx="73">
                  <c:v>8.2171637480805</c:v>
                </c:pt>
                <c:pt idx="74">
                  <c:v>12.634437772411049</c:v>
                </c:pt>
                <c:pt idx="75">
                  <c:v>16.883627161489187</c:v>
                </c:pt>
                <c:pt idx="76">
                  <c:v>20.932978122388555</c:v>
                </c:pt>
                <c:pt idx="77">
                  <c:v>24.754519622231474</c:v>
                </c:pt>
                <c:pt idx="78">
                  <c:v>28.32446178138914</c:v>
                </c:pt>
                <c:pt idx="79">
                  <c:v>31.623364484404938</c:v>
                </c:pt>
                <c:pt idx="80">
                  <c:v>34.636086308109547</c:v>
                </c:pt>
                <c:pt idx="81">
                  <c:v>37.351545953297894</c:v>
                </c:pt>
                <c:pt idx="82">
                  <c:v>39.762344854391323</c:v>
                </c:pt>
                <c:pt idx="83">
                  <c:v>41.86430807195039</c:v>
                </c:pt>
                <c:pt idx="84">
                  <c:v>43.656000843972187</c:v>
                </c:pt>
                <c:pt idx="85">
                  <c:v>45.13827197957756</c:v>
                </c:pt>
                <c:pt idx="86">
                  <c:v>46.31386509591708</c:v>
                </c:pt>
                <c:pt idx="87">
                  <c:v>47.187126830907033</c:v>
                </c:pt>
                <c:pt idx="88">
                  <c:v>47.763829178864476</c:v>
                </c:pt>
                <c:pt idx="89">
                  <c:v>48.051111677006425</c:v>
                </c:pt>
                <c:pt idx="90">
                  <c:v>48.057538286775809</c:v>
                </c:pt>
                <c:pt idx="91">
                  <c:v>47.793253070005797</c:v>
                </c:pt>
                <c:pt idx="92">
                  <c:v>47.270207823227594</c:v>
                </c:pt>
                <c:pt idx="93">
                  <c:v>46.502423857601144</c:v>
                </c:pt>
                <c:pt idx="94">
                  <c:v>45.506240079426263</c:v>
                </c:pt>
                <c:pt idx="95">
                  <c:v>44.300492390844596</c:v>
                </c:pt>
                <c:pt idx="96">
                  <c:v>42.906567909179884</c:v>
                </c:pt>
                <c:pt idx="97">
                  <c:v>41.348284393062713</c:v>
                </c:pt>
                <c:pt idx="98">
                  <c:v>39.651562313175816</c:v>
                </c:pt>
                <c:pt idx="99">
                  <c:v>37.843883654990336</c:v>
                </c:pt>
                <c:pt idx="100">
                  <c:v>35.95356411334204</c:v>
                </c:pt>
                <c:pt idx="101">
                  <c:v>34.008897330336097</c:v>
                </c:pt>
                <c:pt idx="102">
                  <c:v>32.037253566234689</c:v>
                </c:pt>
                <c:pt idx="103">
                  <c:v>30.064224414058785</c:v>
                </c:pt>
                <c:pt idx="104">
                  <c:v>28.112897402527384</c:v>
                </c:pt>
                <c:pt idx="105">
                  <c:v>26.203321896824292</c:v>
                </c:pt>
                <c:pt idx="106">
                  <c:v>24.352196782873932</c:v>
                </c:pt>
                <c:pt idx="107">
                  <c:v>22.572778695825352</c:v>
                </c:pt>
                <c:pt idx="108">
                  <c:v>20.87498362161794</c:v>
                </c:pt>
                <c:pt idx="109">
                  <c:v>19.265638345088458</c:v>
                </c:pt>
                <c:pt idx="110">
                  <c:v>17.748832056663172</c:v>
                </c:pt>
                <c:pt idx="111">
                  <c:v>16.326320672990057</c:v>
                </c:pt>
                <c:pt idx="112">
                  <c:v>14.997944117507194</c:v>
                </c:pt>
                <c:pt idx="113">
                  <c:v>13.76202694304961</c:v>
                </c:pt>
                <c:pt idx="114">
                  <c:v>12.615742909275891</c:v>
                </c:pt>
                <c:pt idx="115">
                  <c:v>11.555432992061947</c:v>
                </c:pt>
                <c:pt idx="116">
                  <c:v>10.576873148952597</c:v>
                </c:pt>
                <c:pt idx="117">
                  <c:v>9.675492924683347</c:v>
                </c:pt>
                <c:pt idx="118">
                  <c:v>8.8465489188405559</c:v>
                </c:pt>
                <c:pt idx="119">
                  <c:v>8.0852586570299021</c:v>
                </c:pt>
                <c:pt idx="120">
                  <c:v>7.3869009207476868</c:v>
                </c:pt>
                <c:pt idx="121">
                  <c:v>6.7468884560698994</c:v>
                </c:pt>
                <c:pt idx="122">
                  <c:v>6.1608184730147633</c:v>
                </c:pt>
                <c:pt idx="123">
                  <c:v>5.6245056617548697</c:v>
                </c:pt>
                <c:pt idx="124">
                  <c:v>5.1340017172045123</c:v>
                </c:pt>
                <c:pt idx="125">
                  <c:v>4.6856046570778132</c:v>
                </c:pt>
                <c:pt idx="126">
                  <c:v>4.2758605813537267</c:v>
                </c:pt>
                <c:pt idx="127">
                  <c:v>3.9015599704220145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0D7-4437-B0ED-EE16F2B59955}"/>
            </c:ext>
          </c:extLst>
        </c:ser>
        <c:ser>
          <c:idx val="2"/>
          <c:order val="3"/>
          <c:tx>
            <c:v>..</c:v>
          </c:tx>
          <c:spPr>
            <a:ln w="25400">
              <a:solidFill>
                <a:srgbClr val="00B050"/>
              </a:solidFill>
              <a:prstDash val="sysDash"/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Bode_Plot!$BC$50:$BC$177</c:f>
              <c:numCache>
                <c:formatCode>0.0</c:formatCode>
                <c:ptCount val="128"/>
                <c:pt idx="0">
                  <c:v>-89.970066274344859</c:v>
                </c:pt>
                <c:pt idx="1">
                  <c:v>-89.849976122874821</c:v>
                </c:pt>
                <c:pt idx="2">
                  <c:v>-89.700663844225929</c:v>
                </c:pt>
                <c:pt idx="3">
                  <c:v>-89.67178467846945</c:v>
                </c:pt>
                <c:pt idx="4">
                  <c:v>-89.640119381373736</c:v>
                </c:pt>
                <c:pt idx="5">
                  <c:v>-89.605399176988954</c:v>
                </c:pt>
                <c:pt idx="6">
                  <c:v>-89.567329366294985</c:v>
                </c:pt>
                <c:pt idx="7">
                  <c:v>-89.525586828719867</c:v>
                </c:pt>
                <c:pt idx="8">
                  <c:v>-89.479817283414079</c:v>
                </c:pt>
                <c:pt idx="9">
                  <c:v>-89.429632287358771</c:v>
                </c:pt>
                <c:pt idx="10">
                  <c:v>-89.374605945255382</c:v>
                </c:pt>
                <c:pt idx="11">
                  <c:v>-89.314271303834971</c:v>
                </c:pt>
                <c:pt idx="12">
                  <c:v>-89.248116400727341</c:v>
                </c:pt>
                <c:pt idx="13">
                  <c:v>-89.175579935335136</c:v>
                </c:pt>
                <c:pt idx="14">
                  <c:v>-89.096046526264075</c:v>
                </c:pt>
                <c:pt idx="15">
                  <c:v>-89.008841516763326</c:v>
                </c:pt>
                <c:pt idx="16">
                  <c:v>-88.913225286338715</c:v>
                </c:pt>
                <c:pt idx="17">
                  <c:v>-88.808387023227326</c:v>
                </c:pt>
                <c:pt idx="18">
                  <c:v>-88.693437908791111</c:v>
                </c:pt>
                <c:pt idx="19">
                  <c:v>-88.567403661141356</c:v>
                </c:pt>
                <c:pt idx="20">
                  <c:v>-88.429216381507686</c:v>
                </c:pt>
                <c:pt idx="21">
                  <c:v>-88.277705643108135</c:v>
                </c:pt>
                <c:pt idx="22">
                  <c:v>-88.111588758692506</c:v>
                </c:pt>
                <c:pt idx="23">
                  <c:v>-87.929460159705116</c:v>
                </c:pt>
                <c:pt idx="24">
                  <c:v>-87.729779817401266</c:v>
                </c:pt>
                <c:pt idx="25">
                  <c:v>-87.510860634604938</c:v>
                </c:pt>
                <c:pt idx="26">
                  <c:v>-87.270854736581569</c:v>
                </c:pt>
                <c:pt idx="27">
                  <c:v>-87.007738591361743</c:v>
                </c:pt>
                <c:pt idx="28">
                  <c:v>-86.71929689462894</c:v>
                </c:pt>
                <c:pt idx="29">
                  <c:v>-86.403105163111178</c:v>
                </c:pt>
                <c:pt idx="30">
                  <c:v>-86.056510994770875</c:v>
                </c:pt>
                <c:pt idx="31">
                  <c:v>-85.676613975931886</c:v>
                </c:pt>
                <c:pt idx="32">
                  <c:v>-85.260244247363332</c:v>
                </c:pt>
                <c:pt idx="33">
                  <c:v>-84.803939786586213</c:v>
                </c:pt>
                <c:pt idx="34">
                  <c:v>-84.303922526561578</c:v>
                </c:pt>
                <c:pt idx="35">
                  <c:v>-83.756073516974311</c:v>
                </c:pt>
                <c:pt idx="36">
                  <c:v>-83.155907450541349</c:v>
                </c:pt>
                <c:pt idx="37">
                  <c:v>-82.498547031978688</c:v>
                </c:pt>
                <c:pt idx="38">
                  <c:v>-81.778697872425866</c:v>
                </c:pt>
                <c:pt idx="39">
                  <c:v>-80.990624860692762</c:v>
                </c:pt>
                <c:pt idx="40">
                  <c:v>-80.128131310736975</c:v>
                </c:pt>
                <c:pt idx="41">
                  <c:v>-79.18454263102808</c:v>
                </c:pt>
                <c:pt idx="42">
                  <c:v>-78.152696826762337</c:v>
                </c:pt>
                <c:pt idx="43">
                  <c:v>-77.024944852020084</c:v>
                </c:pt>
                <c:pt idx="44">
                  <c:v>-75.793164696038687</c:v>
                </c:pt>
                <c:pt idx="45">
                  <c:v>-74.448794129853027</c:v>
                </c:pt>
                <c:pt idx="46">
                  <c:v>-72.982888257201623</c:v>
                </c:pt>
                <c:pt idx="47">
                  <c:v>-71.386209382530694</c:v>
                </c:pt>
                <c:pt idx="48">
                  <c:v>-69.649358163393941</c:v>
                </c:pt>
                <c:pt idx="49">
                  <c:v>-67.762956424519246</c:v>
                </c:pt>
                <c:pt idx="50">
                  <c:v>-65.717893153275</c:v>
                </c:pt>
                <c:pt idx="51">
                  <c:v>-63.505645722875144</c:v>
                </c:pt>
                <c:pt idx="52">
                  <c:v>-61.118687798027544</c:v>
                </c:pt>
                <c:pt idx="53">
                  <c:v>-58.55099299986194</c:v>
                </c:pt>
                <c:pt idx="54">
                  <c:v>-55.79863843877142</c:v>
                </c:pt>
                <c:pt idx="55">
                  <c:v>-52.860503828237121</c:v>
                </c:pt>
                <c:pt idx="56">
                  <c:v>-49.739049414701746</c:v>
                </c:pt>
                <c:pt idx="57">
                  <c:v>-46.441139276778856</c:v>
                </c:pt>
                <c:pt idx="58">
                  <c:v>-42.978856545736576</c:v>
                </c:pt>
                <c:pt idx="59">
                  <c:v>-39.370236157679493</c:v>
                </c:pt>
                <c:pt idx="60">
                  <c:v>-35.639823026463532</c:v>
                </c:pt>
                <c:pt idx="61">
                  <c:v>-31.818954720834128</c:v>
                </c:pt>
                <c:pt idx="62">
                  <c:v>-27.945673975700302</c:v>
                </c:pt>
                <c:pt idx="63">
                  <c:v>-24.064202221887005</c:v>
                </c:pt>
                <c:pt idx="64">
                  <c:v>-20.223951247529595</c:v>
                </c:pt>
                <c:pt idx="65">
                  <c:v>-16.478110530063237</c:v>
                </c:pt>
                <c:pt idx="66">
                  <c:v>-12.881911005113221</c:v>
                </c:pt>
                <c:pt idx="67">
                  <c:v>-9.4907168906583266</c:v>
                </c:pt>
                <c:pt idx="68">
                  <c:v>-6.3581218715968788</c:v>
                </c:pt>
                <c:pt idx="69">
                  <c:v>-3.5342172251952286</c:v>
                </c:pt>
                <c:pt idx="70">
                  <c:v>-1.0641595758571201</c:v>
                </c:pt>
                <c:pt idx="71">
                  <c:v>1.0128941613901812</c:v>
                </c:pt>
                <c:pt idx="72">
                  <c:v>2.6644819502663979</c:v>
                </c:pt>
                <c:pt idx="73">
                  <c:v>3.8652140308968113</c:v>
                </c:pt>
                <c:pt idx="74">
                  <c:v>4.5969194490198451</c:v>
                </c:pt>
                <c:pt idx="75">
                  <c:v>4.8486597095938606</c:v>
                </c:pt>
                <c:pt idx="76">
                  <c:v>4.616696700925333</c:v>
                </c:pt>
                <c:pt idx="77">
                  <c:v>3.9044743824876207</c:v>
                </c:pt>
                <c:pt idx="78">
                  <c:v>2.7226357945419561</c:v>
                </c:pt>
                <c:pt idx="79">
                  <c:v>1.0890555051208399</c:v>
                </c:pt>
                <c:pt idx="80">
                  <c:v>-0.97117060147877765</c:v>
                </c:pt>
                <c:pt idx="81">
                  <c:v>-3.4258644966805996</c:v>
                </c:pt>
                <c:pt idx="82">
                  <c:v>-6.2361320927535653</c:v>
                </c:pt>
                <c:pt idx="83">
                  <c:v>-9.3570440672334172</c:v>
                </c:pt>
                <c:pt idx="84">
                  <c:v>-12.738685405544437</c:v>
                </c:pt>
                <c:pt idx="85">
                  <c:v>-16.327573492484536</c:v>
                </c:pt>
                <c:pt idx="86">
                  <c:v>-20.068379865640921</c:v>
                </c:pt>
                <c:pt idx="87">
                  <c:v>-23.905830104092693</c:v>
                </c:pt>
                <c:pt idx="88">
                  <c:v>-27.786615342469755</c:v>
                </c:pt>
                <c:pt idx="89">
                  <c:v>-31.661138788529037</c:v>
                </c:pt>
                <c:pt idx="90">
                  <c:v>-35.48494402422623</c:v>
                </c:pt>
                <c:pt idx="91">
                  <c:v>-39.219721893154535</c:v>
                </c:pt>
                <c:pt idx="92">
                  <c:v>-42.83385580473265</c:v>
                </c:pt>
                <c:pt idx="93">
                  <c:v>-46.302526091944529</c:v>
                </c:pt>
                <c:pt idx="94">
                  <c:v>-49.607440736059679</c:v>
                </c:pt>
                <c:pt idx="95">
                  <c:v>-52.736286475153179</c:v>
                </c:pt>
                <c:pt idx="96">
                  <c:v>-55.6820012923326</c:v>
                </c:pt>
                <c:pt idx="97">
                  <c:v>-58.441960972622923</c:v>
                </c:pt>
                <c:pt idx="98">
                  <c:v>-61.01715494130206</c:v>
                </c:pt>
                <c:pt idx="99">
                  <c:v>-63.411405692850742</c:v>
                </c:pt>
                <c:pt idx="100">
                  <c:v>-65.630666021488466</c:v>
                </c:pt>
                <c:pt idx="101">
                  <c:v>-67.682411420581985</c:v>
                </c:pt>
                <c:pt idx="102">
                  <c:v>-69.575132365354037</c:v>
                </c:pt>
                <c:pt idx="103">
                  <c:v>-71.317922641220775</c:v>
                </c:pt>
                <c:pt idx="104">
                  <c:v>-72.920154787654866</c:v>
                </c:pt>
                <c:pt idx="105">
                  <c:v>-74.391231260049523</c:v>
                </c:pt>
                <c:pt idx="106">
                  <c:v>-75.740399261508074</c:v>
                </c:pt>
                <c:pt idx="107">
                  <c:v>-76.976617688305367</c:v>
                </c:pt>
                <c:pt idx="108">
                  <c:v>-78.108465757815893</c:v>
                </c:pt>
                <c:pt idx="109">
                  <c:v>-79.144084291851939</c:v>
                </c:pt>
                <c:pt idx="110">
                  <c:v>-80.091142084079507</c:v>
                </c:pt>
                <c:pt idx="111">
                  <c:v>-80.956821154260169</c:v>
                </c:pt>
                <c:pt idx="112">
                  <c:v>-81.747815916602804</c:v>
                </c:pt>
                <c:pt idx="113">
                  <c:v>-82.470342338887036</c:v>
                </c:pt>
                <c:pt idx="114">
                  <c:v>-83.130154043054617</c:v>
                </c:pt>
                <c:pt idx="115">
                  <c:v>-83.73256301030942</c:v>
                </c:pt>
                <c:pt idx="116">
                  <c:v>-84.282463124411123</c:v>
                </c:pt>
                <c:pt idx="117">
                  <c:v>-84.78435523755121</c:v>
                </c:pt>
                <c:pt idx="118">
                  <c:v>-85.242372794876701</c:v>
                </c:pt>
                <c:pt idx="119">
                  <c:v>-85.66030732521358</c:v>
                </c:pt>
                <c:pt idx="120">
                  <c:v>-86.041633313020725</c:v>
                </c:pt>
                <c:pt idx="121">
                  <c:v>-86.389532123624221</c:v>
                </c:pt>
                <c:pt idx="122">
                  <c:v>-86.706914771405934</c:v>
                </c:pt>
                <c:pt idx="123">
                  <c:v>-86.996443407761561</c:v>
                </c:pt>
                <c:pt idx="124">
                  <c:v>-87.260551469367186</c:v>
                </c:pt>
                <c:pt idx="125">
                  <c:v>-87.501462473170676</c:v>
                </c:pt>
                <c:pt idx="126">
                  <c:v>-87.721207476880338</c:v>
                </c:pt>
                <c:pt idx="127">
                  <c:v>-87.92164124592432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0D7-4437-B0ED-EE16F2B59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0914991"/>
        <c:axId val="280924559"/>
      </c:scatterChart>
      <c:valAx>
        <c:axId val="346961376"/>
        <c:scaling>
          <c:logBase val="10"/>
          <c:orientation val="minMax"/>
          <c:max val="10000000"/>
          <c:min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tint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latin typeface="Times New Roman" pitchFamily="18" charset="0"/>
                    <a:cs typeface="Times New Roman" pitchFamily="18" charset="0"/>
                  </a:rPr>
                  <a:t>Frequency (kHz)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n-US"/>
          </a:p>
        </c:txPr>
        <c:crossAx val="346959416"/>
        <c:crossesAt val="-40"/>
        <c:crossBetween val="midCat"/>
        <c:dispUnits>
          <c:builtInUnit val="thousands"/>
        </c:dispUnits>
      </c:valAx>
      <c:valAx>
        <c:axId val="346959416"/>
        <c:scaling>
          <c:orientation val="minMax"/>
          <c:min val="-40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rgbClr val="0000FF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r>
                  <a:rPr lang="en-US" sz="1200">
                    <a:solidFill>
                      <a:srgbClr val="0000FF"/>
                    </a:solidFill>
                    <a:latin typeface="Times New Roman" pitchFamily="18" charset="0"/>
                    <a:cs typeface="Times New Roman" pitchFamily="18" charset="0"/>
                  </a:rPr>
                  <a:t>Magnitude (dB)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n-US"/>
          </a:p>
        </c:txPr>
        <c:crossAx val="346961376"/>
        <c:crosses val="autoZero"/>
        <c:crossBetween val="midCat"/>
      </c:valAx>
      <c:valAx>
        <c:axId val="280924559"/>
        <c:scaling>
          <c:orientation val="minMax"/>
          <c:max val="90"/>
          <c:min val="-90"/>
        </c:scaling>
        <c:delete val="0"/>
        <c:axPos val="r"/>
        <c:title>
          <c:tx>
            <c:rich>
              <a:bodyPr/>
              <a:lstStyle/>
              <a:p>
                <a:pPr>
                  <a:defRPr sz="1400">
                    <a:solidFill>
                      <a:srgbClr val="00B05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400">
                    <a:solidFill>
                      <a:srgbClr val="00B05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Phase</a:t>
                </a:r>
                <a:r>
                  <a:rPr lang="en-US" sz="1400" baseline="0">
                    <a:solidFill>
                      <a:srgbClr val="00B05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(deg)</a:t>
                </a:r>
                <a:endParaRPr lang="en-US" sz="1400">
                  <a:solidFill>
                    <a:srgbClr val="00B050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280914991"/>
        <c:crosses val="max"/>
        <c:crossBetween val="midCat"/>
        <c:majorUnit val="30"/>
      </c:valAx>
      <c:valAx>
        <c:axId val="280914991"/>
        <c:scaling>
          <c:logBase val="10"/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280924559"/>
        <c:crosses val="autoZero"/>
        <c:crossBetween val="midCat"/>
      </c:valAx>
      <c:spPr>
        <a:solidFill>
          <a:schemeClr val="bg1"/>
        </a:solidFill>
        <a:ln w="25400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10175275957020255"/>
          <c:y val="0.53938557423785771"/>
          <c:w val="9.0003454751017703E-2"/>
          <c:h val="0.18277470857076222"/>
        </c:manualLayout>
      </c:layout>
      <c:overlay val="0"/>
      <c:spPr>
        <a:solidFill>
          <a:schemeClr val="bg1"/>
        </a:solidFill>
      </c:spPr>
      <c:txPr>
        <a:bodyPr/>
        <a:lstStyle/>
        <a:p>
          <a:pPr>
            <a:defRPr sz="1200" baseline="0"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aseline="0">
                <a:latin typeface="Times New Roman" pitchFamily="18" charset="0"/>
                <a:cs typeface="Times New Roman" pitchFamily="18" charset="0"/>
              </a:rPr>
              <a:t>Closed-Loop System (user=solid, suggested=dotted)</a:t>
            </a:r>
            <a:endParaRPr lang="en-US">
              <a:latin typeface="Times New Roman" pitchFamily="18" charset="0"/>
              <a:cs typeface="Times New Roman" pitchFamily="18" charset="0"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9557401236081441E-2"/>
          <c:y val="0.10324218407476761"/>
          <c:w val="0.81987634799210973"/>
          <c:h val="0.80501495099944076"/>
        </c:manualLayout>
      </c:layout>
      <c:scatterChart>
        <c:scatterStyle val="smoothMarker"/>
        <c:varyColors val="0"/>
        <c:ser>
          <c:idx val="7"/>
          <c:order val="0"/>
          <c:tx>
            <c:v>gain</c:v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Bode_Plot!$AP$50:$AP$177</c:f>
              <c:numCache>
                <c:formatCode>0.0</c:formatCode>
                <c:ptCount val="128"/>
                <c:pt idx="0">
                  <c:v>90.33918900549213</c:v>
                </c:pt>
                <c:pt idx="1">
                  <c:v>76.339062080488162</c:v>
                </c:pt>
                <c:pt idx="2">
                  <c:v>70.338668045590509</c:v>
                </c:pt>
                <c:pt idx="3">
                  <c:v>69.538561617853972</c:v>
                </c:pt>
                <c:pt idx="4">
                  <c:v>68.738433667291602</c:v>
                </c:pt>
                <c:pt idx="5">
                  <c:v>67.938279842258282</c:v>
                </c:pt>
                <c:pt idx="6">
                  <c:v>67.138094911663316</c:v>
                </c:pt>
                <c:pt idx="7">
                  <c:v>66.337872587418701</c:v>
                </c:pt>
                <c:pt idx="8">
                  <c:v>65.537605311120842</c:v>
                </c:pt>
                <c:pt idx="9">
                  <c:v>64.737283997796283</c:v>
                </c:pt>
                <c:pt idx="10">
                  <c:v>63.936897728122418</c:v>
                </c:pt>
                <c:pt idx="11">
                  <c:v>63.136433378835022</c:v>
                </c:pt>
                <c:pt idx="12">
                  <c:v>62.335875179017528</c:v>
                </c:pt>
                <c:pt idx="13">
                  <c:v>61.535204177561916</c:v>
                </c:pt>
                <c:pt idx="14">
                  <c:v>60.734397604243767</c:v>
                </c:pt>
                <c:pt idx="15">
                  <c:v>59.933428103479464</c:v>
                </c:pt>
                <c:pt idx="16">
                  <c:v>59.132262815864507</c:v>
                </c:pt>
                <c:pt idx="17">
                  <c:v>58.33086227792591</c:v>
                </c:pt>
                <c:pt idx="18">
                  <c:v>57.529179105082378</c:v>
                </c:pt>
                <c:pt idx="19">
                  <c:v>56.727156416498076</c:v>
                </c:pt>
                <c:pt idx="20">
                  <c:v>55.924725953273686</c:v>
                </c:pt>
                <c:pt idx="21">
                  <c:v>55.121805833187935</c:v>
                </c:pt>
                <c:pt idx="22">
                  <c:v>54.318297876001907</c:v>
                </c:pt>
                <c:pt idx="23">
                  <c:v>53.514084423246857</c:v>
                </c:pt>
                <c:pt idx="24">
                  <c:v>52.709024565674383</c:v>
                </c:pt>
                <c:pt idx="25">
                  <c:v>51.902949680582807</c:v>
                </c:pt>
                <c:pt idx="26">
                  <c:v>51.095658170793641</c:v>
                </c:pt>
                <c:pt idx="27">
                  <c:v>50.286909288326612</c:v>
                </c:pt>
                <c:pt idx="28">
                  <c:v>49.476415920615523</c:v>
                </c:pt>
                <c:pt idx="29">
                  <c:v>48.663836218106546</c:v>
                </c:pt>
                <c:pt idx="30">
                  <c:v>47.848763953083555</c:v>
                </c:pt>
                <c:pt idx="31">
                  <c:v>47.030717525874749</c:v>
                </c:pt>
                <c:pt idx="32">
                  <c:v>46.209127583292386</c:v>
                </c:pt>
                <c:pt idx="33">
                  <c:v>45.383323294419768</c:v>
                </c:pt>
                <c:pt idx="34">
                  <c:v>44.552517451969692</c:v>
                </c:pt>
                <c:pt idx="35">
                  <c:v>43.715790746425242</c:v>
                </c:pt>
                <c:pt idx="36">
                  <c:v>42.872075808561732</c:v>
                </c:pt>
                <c:pt idx="37">
                  <c:v>42.020141945232197</c:v>
                </c:pt>
                <c:pt idx="38">
                  <c:v>41.158581908435764</c:v>
                </c:pt>
                <c:pt idx="39">
                  <c:v>40.28580253012904</c:v>
                </c:pt>
                <c:pt idx="40">
                  <c:v>39.400021593284677</c:v>
                </c:pt>
                <c:pt idx="41">
                  <c:v>38.49927382717302</c:v>
                </c:pt>
                <c:pt idx="42">
                  <c:v>37.581429300727784</c:v>
                </c:pt>
                <c:pt idx="43">
                  <c:v>36.64422758272196</c:v>
                </c:pt>
                <c:pt idx="44">
                  <c:v>35.685330644957354</c:v>
                </c:pt>
                <c:pt idx="45">
                  <c:v>34.702396407963228</c:v>
                </c:pt>
                <c:pt idx="46">
                  <c:v>33.69317293783682</c:v>
                </c:pt>
                <c:pt idx="47">
                  <c:v>32.655610626701467</c:v>
                </c:pt>
                <c:pt idx="48">
                  <c:v>31.587986505307192</c:v>
                </c:pt>
                <c:pt idx="49">
                  <c:v>30.489031709546936</c:v>
                </c:pt>
                <c:pt idx="50">
                  <c:v>29.358050837972904</c:v>
                </c:pt>
                <c:pt idx="51">
                  <c:v>28.195021297623398</c:v>
                </c:pt>
                <c:pt idx="52">
                  <c:v>27.000662264401893</c:v>
                </c:pt>
                <c:pt idx="53">
                  <c:v>25.776466551144491</c:v>
                </c:pt>
                <c:pt idx="54">
                  <c:v>24.524693792283763</c:v>
                </c:pt>
                <c:pt idx="55">
                  <c:v>23.248328731761404</c:v>
                </c:pt>
                <c:pt idx="56">
                  <c:v>21.951012739879868</c:v>
                </c:pt>
                <c:pt idx="57">
                  <c:v>20.636959008648667</c:v>
                </c:pt>
                <c:pt idx="58">
                  <c:v>19.310861822064794</c:v>
                </c:pt>
                <c:pt idx="59">
                  <c:v>17.977808150366229</c:v>
                </c:pt>
                <c:pt idx="60">
                  <c:v>16.643196302940058</c:v>
                </c:pt>
                <c:pt idx="61">
                  <c:v>15.312662368760217</c:v>
                </c:pt>
                <c:pt idx="62">
                  <c:v>13.992011449431189</c:v>
                </c:pt>
                <c:pt idx="63">
                  <c:v>12.687147795250088</c:v>
                </c:pt>
                <c:pt idx="64">
                  <c:v>11.403996212303829</c:v>
                </c:pt>
                <c:pt idx="65">
                  <c:v>10.148406694660729</c:v>
                </c:pt>
                <c:pt idx="66">
                  <c:v>8.926035263820852</c:v>
                </c:pt>
                <c:pt idx="67">
                  <c:v>7.7421965522841818</c:v>
                </c:pt>
                <c:pt idx="68">
                  <c:v>6.6016877528429436</c:v>
                </c:pt>
                <c:pt idx="69">
                  <c:v>5.508588958019077</c:v>
                </c:pt>
                <c:pt idx="70">
                  <c:v>4.4660510474218631</c:v>
                </c:pt>
                <c:pt idx="71">
                  <c:v>3.4760881027021884</c:v>
                </c:pt>
                <c:pt idx="72">
                  <c:v>2.5393954615838776</c:v>
                </c:pt>
                <c:pt idx="73">
                  <c:v>1.6552156054455394</c:v>
                </c:pt>
                <c:pt idx="74">
                  <c:v>0.82127126878752343</c:v>
                </c:pt>
                <c:pt idx="75">
                  <c:v>3.3778556878547666E-2</c:v>
                </c:pt>
                <c:pt idx="76">
                  <c:v>-0.71245641835457019</c:v>
                </c:pt>
                <c:pt idx="77">
                  <c:v>-1.4238639951987042</c:v>
                </c:pt>
                <c:pt idx="78">
                  <c:v>-2.1078761604113945</c:v>
                </c:pt>
                <c:pt idx="79">
                  <c:v>-2.7726526698741139</c:v>
                </c:pt>
                <c:pt idx="80">
                  <c:v>-3.4267937040912191</c:v>
                </c:pt>
                <c:pt idx="81">
                  <c:v>-4.079065156339329</c:v>
                </c:pt>
                <c:pt idx="82">
                  <c:v>-4.738160743315051</c:v>
                </c:pt>
                <c:pt idx="83">
                  <c:v>-5.4125214017700056</c:v>
                </c:pt>
                <c:pt idx="84">
                  <c:v>-6.1102273127946365</c:v>
                </c:pt>
                <c:pt idx="85">
                  <c:v>-6.8389717378246644</c:v>
                </c:pt>
                <c:pt idx="86">
                  <c:v>-7.6061191812071369</c:v>
                </c:pt>
                <c:pt idx="87">
                  <c:v>-8.418844057113354</c:v>
                </c:pt>
                <c:pt idx="88">
                  <c:v>-9.2843411319569729</c:v>
                </c:pt>
                <c:pt idx="89">
                  <c:v>-10.210096611299557</c:v>
                </c:pt>
                <c:pt idx="90">
                  <c:v>-11.204209531819938</c:v>
                </c:pt>
                <c:pt idx="91">
                  <c:v>-12.275757069156805</c:v>
                </c:pt>
                <c:pt idx="92">
                  <c:v>-13.435203266962406</c:v>
                </c:pt>
                <c:pt idx="93">
                  <c:v>-14.694854904910448</c:v>
                </c:pt>
                <c:pt idx="94">
                  <c:v>-16.069360809708549</c:v>
                </c:pt>
                <c:pt idx="95">
                  <c:v>-17.576203598323126</c:v>
                </c:pt>
                <c:pt idx="96">
                  <c:v>-19.235962183954751</c:v>
                </c:pt>
                <c:pt idx="97">
                  <c:v>-21.071575771223849</c:v>
                </c:pt>
                <c:pt idx="98">
                  <c:v>-23.104133176727828</c:v>
                </c:pt>
                <c:pt idx="99">
                  <c:v>-25.337527441975951</c:v>
                </c:pt>
                <c:pt idx="100">
                  <c:v>-27.710466006549655</c:v>
                </c:pt>
                <c:pt idx="101">
                  <c:v>-29.97703607479739</c:v>
                </c:pt>
                <c:pt idx="102">
                  <c:v>-31.582577127768928</c:v>
                </c:pt>
                <c:pt idx="103">
                  <c:v>-32.023311183386966</c:v>
                </c:pt>
                <c:pt idx="104">
                  <c:v>-31.552715538227503</c:v>
                </c:pt>
                <c:pt idx="105">
                  <c:v>-30.792010855775001</c:v>
                </c:pt>
                <c:pt idx="106">
                  <c:v>-30.101190289732472</c:v>
                </c:pt>
                <c:pt idx="107">
                  <c:v>-29.592397314810306</c:v>
                </c:pt>
                <c:pt idx="108">
                  <c:v>-29.27661350798763</c:v>
                </c:pt>
                <c:pt idx="109">
                  <c:v>-29.134907475928085</c:v>
                </c:pt>
                <c:pt idx="110">
                  <c:v>-29.142724570737727</c:v>
                </c:pt>
                <c:pt idx="111">
                  <c:v>-29.277006594481236</c:v>
                </c:pt>
                <c:pt idx="112">
                  <c:v>-29.517814781328426</c:v>
                </c:pt>
                <c:pt idx="113">
                  <c:v>-29.848324418405369</c:v>
                </c:pt>
                <c:pt idx="114">
                  <c:v>-30.254415876482931</c:v>
                </c:pt>
                <c:pt idx="115">
                  <c:v>-30.724231034879285</c:v>
                </c:pt>
                <c:pt idx="116">
                  <c:v>-31.247790446287485</c:v>
                </c:pt>
                <c:pt idx="117">
                  <c:v>-31.816682562857871</c:v>
                </c:pt>
                <c:pt idx="118">
                  <c:v>-32.423814114616619</c:v>
                </c:pt>
                <c:pt idx="119">
                  <c:v>-33.063207897237341</c:v>
                </c:pt>
                <c:pt idx="120">
                  <c:v>-33.729836636896962</c:v>
                </c:pt>
                <c:pt idx="121">
                  <c:v>-34.419484697505787</c:v>
                </c:pt>
                <c:pt idx="122">
                  <c:v>-35.128631913225391</c:v>
                </c:pt>
                <c:pt idx="123">
                  <c:v>-35.854355592955656</c:v>
                </c:pt>
                <c:pt idx="124">
                  <c:v>-36.594247894789675</c:v>
                </c:pt>
                <c:pt idx="125">
                  <c:v>-37.346346496287872</c:v>
                </c:pt>
                <c:pt idx="126">
                  <c:v>-38.109076946297279</c:v>
                </c:pt>
                <c:pt idx="127">
                  <c:v>-38.881205383487206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38-4535-BBB0-1C2C15557A00}"/>
            </c:ext>
          </c:extLst>
        </c:ser>
        <c:ser>
          <c:idx val="1"/>
          <c:order val="2"/>
          <c:tx>
            <c:v>.</c:v>
          </c:tx>
          <c:spPr>
            <a:ln w="25400">
              <a:solidFill>
                <a:srgbClr val="0000FF"/>
              </a:solidFill>
              <a:prstDash val="sysDash"/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Bode_Plot!$BG$50:$BG$177</c:f>
              <c:numCache>
                <c:formatCode>0.0</c:formatCode>
                <c:ptCount val="128"/>
                <c:pt idx="0">
                  <c:v>84.702823140302982</c:v>
                </c:pt>
                <c:pt idx="1">
                  <c:v>70.70270735320824</c:v>
                </c:pt>
                <c:pt idx="2">
                  <c:v>64.70234789762786</c:v>
                </c:pt>
                <c:pt idx="3">
                  <c:v>63.90225081019058</c:v>
                </c:pt>
                <c:pt idx="4">
                  <c:v>63.102134089104986</c:v>
                </c:pt>
                <c:pt idx="5">
                  <c:v>62.301993764824502</c:v>
                </c:pt>
                <c:pt idx="6">
                  <c:v>61.501825065635707</c:v>
                </c:pt>
                <c:pt idx="7">
                  <c:v>60.701622255733824</c:v>
                </c:pt>
                <c:pt idx="8">
                  <c:v>59.901378440692383</c:v>
                </c:pt>
                <c:pt idx="9">
                  <c:v>59.101085333794018</c:v>
                </c:pt>
                <c:pt idx="10">
                  <c:v>58.300732975402703</c:v>
                </c:pt>
                <c:pt idx="11">
                  <c:v>57.500309396009698</c:v>
                </c:pt>
                <c:pt idx="12">
                  <c:v>56.699800211758273</c:v>
                </c:pt>
                <c:pt idx="13">
                  <c:v>55.899188139066915</c:v>
                </c:pt>
                <c:pt idx="14">
                  <c:v>55.098452412394145</c:v>
                </c:pt>
                <c:pt idx="15">
                  <c:v>54.297568086135577</c:v>
                </c:pt>
                <c:pt idx="16">
                  <c:v>53.496505198058806</c:v>
                </c:pt>
                <c:pt idx="17">
                  <c:v>52.695227767481484</c:v>
                </c:pt>
                <c:pt idx="18">
                  <c:v>51.893692596514065</c:v>
                </c:pt>
                <c:pt idx="19">
                  <c:v>51.091847837045918</c:v>
                </c:pt>
                <c:pt idx="20">
                  <c:v>50.289631279708438</c:v>
                </c:pt>
                <c:pt idx="21">
                  <c:v>49.486968313775215</c:v>
                </c:pt>
                <c:pt idx="22">
                  <c:v>48.683769498895863</c:v>
                </c:pt>
                <c:pt idx="23">
                  <c:v>47.879927680831891</c:v>
                </c:pt>
                <c:pt idx="24">
                  <c:v>47.075314574246107</c:v>
                </c:pt>
                <c:pt idx="25">
                  <c:v>46.269776726562178</c:v>
                </c:pt>
                <c:pt idx="26">
                  <c:v>45.463130768768067</c:v>
                </c:pt>
                <c:pt idx="27">
                  <c:v>44.655157853028058</c:v>
                </c:pt>
                <c:pt idx="28">
                  <c:v>43.845597174973307</c:v>
                </c:pt>
                <c:pt idx="29">
                  <c:v>43.0341384833104</c:v>
                </c:pt>
                <c:pt idx="30">
                  <c:v>42.220413494808511</c:v>
                </c:pt>
                <c:pt idx="31">
                  <c:v>41.403986164161743</c:v>
                </c:pt>
                <c:pt idx="32">
                  <c:v>40.584341812845508</c:v>
                </c:pt>
                <c:pt idx="33">
                  <c:v>39.760875208094944</c:v>
                </c:pt>
                <c:pt idx="34">
                  <c:v>38.932877813854198</c:v>
                </c:pt>
                <c:pt idx="35">
                  <c:v>38.099524622930801</c:v>
                </c:pt>
                <c:pt idx="36">
                  <c:v>37.259861237038628</c:v>
                </c:pt>
                <c:pt idx="37">
                  <c:v>36.412792200096121</c:v>
                </c:pt>
                <c:pt idx="38">
                  <c:v>35.557072014478791</c:v>
                </c:pt>
                <c:pt idx="39">
                  <c:v>34.691300770469375</c:v>
                </c:pt>
                <c:pt idx="40">
                  <c:v>33.813926862792343</c:v>
                </c:pt>
                <c:pt idx="41">
                  <c:v>32.923259786577944</c:v>
                </c:pt>
                <c:pt idx="42">
                  <c:v>32.017496384273585</c:v>
                </c:pt>
                <c:pt idx="43">
                  <c:v>31.094763991055679</c:v>
                </c:pt>
                <c:pt idx="44">
                  <c:v>30.153183496723003</c:v>
                </c:pt>
                <c:pt idx="45">
                  <c:v>29.190954201814925</c:v>
                </c:pt>
                <c:pt idx="46">
                  <c:v>28.206460354088783</c:v>
                </c:pt>
                <c:pt idx="47">
                  <c:v>27.198396423916847</c:v>
                </c:pt>
                <c:pt idx="48">
                  <c:v>26.165904775310857</c:v>
                </c:pt>
                <c:pt idx="49">
                  <c:v>25.10871596106481</c:v>
                </c:pt>
                <c:pt idx="50">
                  <c:v>24.027279185226895</c:v>
                </c:pt>
                <c:pt idx="51">
                  <c:v>22.922869327533839</c:v>
                </c:pt>
                <c:pt idx="52">
                  <c:v>21.797657842163606</c:v>
                </c:pt>
                <c:pt idx="53">
                  <c:v>20.654737829342533</c:v>
                </c:pt>
                <c:pt idx="54">
                  <c:v>19.498098019949776</c:v>
                </c:pt>
                <c:pt idx="55">
                  <c:v>18.332545259877598</c:v>
                </c:pt>
                <c:pt idx="56">
                  <c:v>17.163579241600647</c:v>
                </c:pt>
                <c:pt idx="57">
                  <c:v>15.997226008936954</c:v>
                </c:pt>
                <c:pt idx="58">
                  <c:v>14.839838112640473</c:v>
                </c:pt>
                <c:pt idx="59">
                  <c:v>13.697869775478519</c:v>
                </c:pt>
                <c:pt idx="60">
                  <c:v>12.577635860095356</c:v>
                </c:pt>
                <c:pt idx="61">
                  <c:v>11.485064451598639</c:v>
                </c:pt>
                <c:pt idx="62">
                  <c:v>10.425454517767232</c:v>
                </c:pt>
                <c:pt idx="63">
                  <c:v>9.4032517228291912</c:v>
                </c:pt>
                <c:pt idx="64">
                  <c:v>8.4218558700854711</c:v>
                </c:pt>
                <c:pt idx="65">
                  <c:v>7.4834714879291511</c:v>
                </c:pt>
                <c:pt idx="66">
                  <c:v>6.5890083046785097</c:v>
                </c:pt>
                <c:pt idx="67">
                  <c:v>5.7380315062373954</c:v>
                </c:pt>
                <c:pt idx="68">
                  <c:v>4.9287545970097693</c:v>
                </c:pt>
                <c:pt idx="69">
                  <c:v>4.158062717612057</c:v>
                </c:pt>
                <c:pt idx="70">
                  <c:v>3.4215531793865162</c:v>
                </c:pt>
                <c:pt idx="71">
                  <c:v>2.7135831036765841</c:v>
                </c:pt>
                <c:pt idx="72">
                  <c:v>2.0273201520267099</c:v>
                </c:pt>
                <c:pt idx="73">
                  <c:v>1.3547991598052604</c:v>
                </c:pt>
                <c:pt idx="74">
                  <c:v>0.68699284099663727</c:v>
                </c:pt>
                <c:pt idx="75">
                  <c:v>1.3907321090960286E-2</c:v>
                </c:pt>
                <c:pt idx="76">
                  <c:v>-0.67528705707281766</c:v>
                </c:pt>
                <c:pt idx="77">
                  <c:v>-1.3920817665968197</c:v>
                </c:pt>
                <c:pt idx="78">
                  <c:v>-2.148409082015053</c:v>
                </c:pt>
                <c:pt idx="79">
                  <c:v>-2.9563751161435552</c:v>
                </c:pt>
                <c:pt idx="80">
                  <c:v>-3.8279539258243078</c:v>
                </c:pt>
                <c:pt idx="81">
                  <c:v>-4.7746565753878585</c:v>
                </c:pt>
                <c:pt idx="82">
                  <c:v>-5.8071964825296565</c:v>
                </c:pt>
                <c:pt idx="83">
                  <c:v>-6.9351792582019121</c:v>
                </c:pt>
                <c:pt idx="84">
                  <c:v>-8.1668498352506127</c:v>
                </c:pt>
                <c:pt idx="85">
                  <c:v>-9.5089300977274185</c:v>
                </c:pt>
                <c:pt idx="86">
                  <c:v>-10.966575311049343</c:v>
                </c:pt>
                <c:pt idx="87">
                  <c:v>-12.543467671186194</c:v>
                </c:pt>
                <c:pt idx="88">
                  <c:v>-14.242052171276164</c:v>
                </c:pt>
                <c:pt idx="89">
                  <c:v>-16.063906902291549</c:v>
                </c:pt>
                <c:pt idx="90">
                  <c:v>-18.010230264877528</c:v>
                </c:pt>
                <c:pt idx="91">
                  <c:v>-20.082423744802071</c:v>
                </c:pt>
                <c:pt idx="92">
                  <c:v>-22.282750998608677</c:v>
                </c:pt>
                <c:pt idx="93">
                  <c:v>-24.615058308165207</c:v>
                </c:pt>
                <c:pt idx="94">
                  <c:v>-27.08553684084594</c:v>
                </c:pt>
                <c:pt idx="95">
                  <c:v>-29.703463615584699</c:v>
                </c:pt>
                <c:pt idx="96">
                  <c:v>-32.481690678218442</c:v>
                </c:pt>
                <c:pt idx="97">
                  <c:v>-35.436106325812858</c:v>
                </c:pt>
                <c:pt idx="98">
                  <c:v>-38.581586001678325</c:v>
                </c:pt>
                <c:pt idx="99">
                  <c:v>-41.916766757658351</c:v>
                </c:pt>
                <c:pt idx="100">
                  <c:v>-45.3761301144879</c:v>
                </c:pt>
                <c:pt idx="101">
                  <c:v>-48.710589446211699</c:v>
                </c:pt>
                <c:pt idx="102">
                  <c:v>-51.363333772050765</c:v>
                </c:pt>
                <c:pt idx="103">
                  <c:v>-52.829382936973168</c:v>
                </c:pt>
                <c:pt idx="104">
                  <c:v>-53.361847727700081</c:v>
                </c:pt>
                <c:pt idx="105">
                  <c:v>-53.582279909686818</c:v>
                </c:pt>
                <c:pt idx="106">
                  <c:v>-53.851551398207278</c:v>
                </c:pt>
                <c:pt idx="107">
                  <c:v>-54.283083079302614</c:v>
                </c:pt>
                <c:pt idx="108">
                  <c:v>-54.88939499551843</c:v>
                </c:pt>
                <c:pt idx="109">
                  <c:v>-55.653236244706918</c:v>
                </c:pt>
                <c:pt idx="110">
                  <c:v>-56.551777912884226</c:v>
                </c:pt>
                <c:pt idx="111">
                  <c:v>-57.563658907030899</c:v>
                </c:pt>
                <c:pt idx="112">
                  <c:v>-58.67055642490503</c:v>
                </c:pt>
                <c:pt idx="113">
                  <c:v>-59.857146522224944</c:v>
                </c:pt>
                <c:pt idx="114">
                  <c:v>-61.110676057739617</c:v>
                </c:pt>
                <c:pt idx="115">
                  <c:v>-62.420511482775332</c:v>
                </c:pt>
                <c:pt idx="116">
                  <c:v>-63.777756630310009</c:v>
                </c:pt>
                <c:pt idx="117">
                  <c:v>-65.174948139152036</c:v>
                </c:pt>
                <c:pt idx="118">
                  <c:v>-66.605815473503313</c:v>
                </c:pt>
                <c:pt idx="119">
                  <c:v>-68.065090189315512</c:v>
                </c:pt>
                <c:pt idx="120">
                  <c:v>-69.548351963585432</c:v>
                </c:pt>
                <c:pt idx="121">
                  <c:v>-71.051902368468674</c:v>
                </c:pt>
                <c:pt idx="122">
                  <c:v>-72.572660173598379</c:v>
                </c:pt>
                <c:pt idx="123">
                  <c:v>-74.108073933395303</c:v>
                </c:pt>
                <c:pt idx="124">
                  <c:v>-75.65604891604336</c:v>
                </c:pt>
                <c:pt idx="125">
                  <c:v>-77.214886259546574</c:v>
                </c:pt>
                <c:pt idx="126">
                  <c:v>-78.783232765257139</c:v>
                </c:pt>
                <c:pt idx="127">
                  <c:v>-80.360040077911506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E38-4535-BBB0-1C2C15557A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961376"/>
        <c:axId val="346959416"/>
      </c:scatterChart>
      <c:scatterChart>
        <c:scatterStyle val="smoothMarker"/>
        <c:varyColors val="0"/>
        <c:ser>
          <c:idx val="0"/>
          <c:order val="1"/>
          <c:tx>
            <c:v>phase</c:v>
          </c:tx>
          <c:spPr>
            <a:ln w="25400">
              <a:solidFill>
                <a:srgbClr val="00B050"/>
              </a:solidFill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Bode_Plot!$AR$50:$AR$177</c:f>
              <c:numCache>
                <c:formatCode>General</c:formatCode>
                <c:ptCount val="128"/>
                <c:pt idx="0">
                  <c:v>89.949426494883468</c:v>
                </c:pt>
                <c:pt idx="1">
                  <c:v>89.746535288685763</c:v>
                </c:pt>
                <c:pt idx="2">
                  <c:v>89.494291481993741</c:v>
                </c:pt>
                <c:pt idx="3">
                  <c:v>89.445507579788767</c:v>
                </c:pt>
                <c:pt idx="4">
                  <c:v>89.392018985956028</c:v>
                </c:pt>
                <c:pt idx="5">
                  <c:v>89.333372402084464</c:v>
                </c:pt>
                <c:pt idx="6">
                  <c:v>89.269070987770547</c:v>
                </c:pt>
                <c:pt idx="7">
                  <c:v>89.198570220633314</c:v>
                </c:pt>
                <c:pt idx="8">
                  <c:v>89.121273376251821</c:v>
                </c:pt>
                <c:pt idx="9">
                  <c:v>89.036526597492795</c:v>
                </c:pt>
                <c:pt idx="10">
                  <c:v>88.943613521693877</c:v>
                </c:pt>
                <c:pt idx="11">
                  <c:v>88.841749433679212</c:v>
                </c:pt>
                <c:pt idx="12">
                  <c:v>88.730074912853738</c:v>
                </c:pt>
                <c:pt idx="13">
                  <c:v>88.607648943969096</c:v>
                </c:pt>
                <c:pt idx="14">
                  <c:v>88.473441464012623</c:v>
                </c:pt>
                <c:pt idx="15">
                  <c:v>88.326325322607147</c:v>
                </c:pt>
                <c:pt idx="16">
                  <c:v>88.16506764107973</c:v>
                </c:pt>
                <c:pt idx="17">
                  <c:v>87.98832056694809</c:v>
                </c:pt>
                <c:pt idx="18">
                  <c:v>87.794611437273758</c:v>
                </c:pt>
                <c:pt idx="19">
                  <c:v>87.582332387818965</c:v>
                </c:pt>
                <c:pt idx="20">
                  <c:v>87.349729477382851</c:v>
                </c:pt>
                <c:pt idx="21">
                  <c:v>87.094891440855619</c:v>
                </c:pt>
                <c:pt idx="22">
                  <c:v>86.815738243946541</c:v>
                </c:pt>
                <c:pt idx="23">
                  <c:v>86.510009691651319</c:v>
                </c:pt>
                <c:pt idx="24">
                  <c:v>86.175254446848044</c:v>
                </c:pt>
                <c:pt idx="25">
                  <c:v>85.808819951688236</c:v>
                </c:pt>
                <c:pt idx="26">
                  <c:v>85.40784392075706</c:v>
                </c:pt>
                <c:pt idx="27">
                  <c:v>84.969248300677592</c:v>
                </c:pt>
                <c:pt idx="28">
                  <c:v>84.489736876349852</c:v>
                </c:pt>
                <c:pt idx="29">
                  <c:v>83.965798060154853</c:v>
                </c:pt>
                <c:pt idx="30">
                  <c:v>83.393714837155244</c:v>
                </c:pt>
                <c:pt idx="31">
                  <c:v>82.769584363314493</c:v>
                </c:pt>
                <c:pt idx="32">
                  <c:v>82.089350324876008</c:v>
                </c:pt>
                <c:pt idx="33">
                  <c:v>81.34885185236169</c:v>
                </c:pt>
                <c:pt idx="34">
                  <c:v>80.543893508144322</c:v>
                </c:pt>
                <c:pt idx="35">
                  <c:v>79.670341565483611</c:v>
                </c:pt>
                <c:pt idx="36">
                  <c:v>78.724252355428533</c:v>
                </c:pt>
                <c:pt idx="37">
                  <c:v>77.702038698862154</c:v>
                </c:pt>
                <c:pt idx="38">
                  <c:v>76.600680109372377</c:v>
                </c:pt>
                <c:pt idx="39">
                  <c:v>75.417981210843337</c:v>
                </c:pt>
                <c:pt idx="40">
                  <c:v>74.152880256660779</c:v>
                </c:pt>
                <c:pt idx="41">
                  <c:v>72.805805346182993</c:v>
                </c:pt>
                <c:pt idx="42">
                  <c:v>71.379069585092751</c:v>
                </c:pt>
                <c:pt idx="43">
                  <c:v>69.877287979719128</c:v>
                </c:pt>
                <c:pt idx="44">
                  <c:v>68.307788752849149</c:v>
                </c:pt>
                <c:pt idx="45">
                  <c:v>66.680981235975679</c:v>
                </c:pt>
                <c:pt idx="46">
                  <c:v>65.010633637636104</c:v>
                </c:pt>
                <c:pt idx="47">
                  <c:v>63.314009672871919</c:v>
                </c:pt>
                <c:pt idx="48">
                  <c:v>61.611816320531204</c:v>
                </c:pt>
                <c:pt idx="49">
                  <c:v>59.927928077238505</c:v>
                </c:pt>
                <c:pt idx="50">
                  <c:v>58.288876137256963</c:v>
                </c:pt>
                <c:pt idx="51">
                  <c:v>56.723121043635771</c:v>
                </c:pt>
                <c:pt idx="52">
                  <c:v>55.260158592706574</c:v>
                </c:pt>
                <c:pt idx="53">
                  <c:v>53.9295335307106</c:v>
                </c:pt>
                <c:pt idx="54">
                  <c:v>52.75984705332732</c:v>
                </c:pt>
                <c:pt idx="55">
                  <c:v>51.777838858656708</c:v>
                </c:pt>
                <c:pt idx="56">
                  <c:v>51.007603836958879</c:v>
                </c:pt>
                <c:pt idx="57">
                  <c:v>50.469973032165399</c:v>
                </c:pt>
                <c:pt idx="58">
                  <c:v>50.182056105505097</c:v>
                </c:pt>
                <c:pt idx="59">
                  <c:v>50.156915541131895</c:v>
                </c:pt>
                <c:pt idx="60">
                  <c:v>50.403326175262663</c:v>
                </c:pt>
                <c:pt idx="61">
                  <c:v>50.925569078073721</c:v>
                </c:pt>
                <c:pt idx="62">
                  <c:v>51.723215511873292</c:v>
                </c:pt>
                <c:pt idx="63">
                  <c:v>52.79087224945691</c:v>
                </c:pt>
                <c:pt idx="64">
                  <c:v>54.117881120538172</c:v>
                </c:pt>
                <c:pt idx="65">
                  <c:v>55.687990541241675</c:v>
                </c:pt>
                <c:pt idx="66">
                  <c:v>57.479042377870243</c:v>
                </c:pt>
                <c:pt idx="67">
                  <c:v>59.462740914162353</c:v>
                </c:pt>
                <c:pt idx="68">
                  <c:v>61.604588255940442</c:v>
                </c:pt>
                <c:pt idx="69">
                  <c:v>63.864077655721644</c:v>
                </c:pt>
                <c:pt idx="70">
                  <c:v>66.195228250450043</c:v>
                </c:pt>
                <c:pt idx="71">
                  <c:v>68.547518365922457</c:v>
                </c:pt>
                <c:pt idx="72">
                  <c:v>70.867230275523724</c:v>
                </c:pt>
                <c:pt idx="73">
                  <c:v>73.099162672789021</c:v>
                </c:pt>
                <c:pt idx="74">
                  <c:v>75.188608544580021</c:v>
                </c:pt>
                <c:pt idx="75">
                  <c:v>77.083448338136122</c:v>
                </c:pt>
                <c:pt idx="76">
                  <c:v>78.736182305116273</c:v>
                </c:pt>
                <c:pt idx="77">
                  <c:v>80.105727253846581</c:v>
                </c:pt>
                <c:pt idx="78">
                  <c:v>81.158830216316332</c:v>
                </c:pt>
                <c:pt idx="79">
                  <c:v>81.870997585204478</c:v>
                </c:pt>
                <c:pt idx="80">
                  <c:v>82.226893535981588</c:v>
                </c:pt>
                <c:pt idx="81">
                  <c:v>82.220217545004601</c:v>
                </c:pt>
                <c:pt idx="82">
                  <c:v>81.853122111689217</c:v>
                </c:pt>
                <c:pt idx="83">
                  <c:v>81.135275804569901</c:v>
                </c:pt>
                <c:pt idx="84">
                  <c:v>80.082712169600029</c:v>
                </c:pt>
                <c:pt idx="85">
                  <c:v>78.716630404710116</c:v>
                </c:pt>
                <c:pt idx="86">
                  <c:v>77.062327357130073</c:v>
                </c:pt>
                <c:pt idx="87">
                  <c:v>75.148442016765145</c:v>
                </c:pt>
                <c:pt idx="88">
                  <c:v>73.006686570218307</c:v>
                </c:pt>
                <c:pt idx="89">
                  <c:v>70.672231158331485</c:v>
                </c:pt>
                <c:pt idx="90">
                  <c:v>68.18491862077741</c:v>
                </c:pt>
                <c:pt idx="91">
                  <c:v>65.591535522606051</c:v>
                </c:pt>
                <c:pt idx="92">
                  <c:v>62.949495860618413</c:v>
                </c:pt>
                <c:pt idx="93">
                  <c:v>60.332571526198578</c:v>
                </c:pt>
                <c:pt idx="94">
                  <c:v>57.839855037205851</c:v>
                </c:pt>
                <c:pt idx="95">
                  <c:v>55.610211195246407</c:v>
                </c:pt>
                <c:pt idx="96">
                  <c:v>53.846537705620733</c:v>
                </c:pt>
                <c:pt idx="97">
                  <c:v>52.858004833261475</c:v>
                </c:pt>
                <c:pt idx="98">
                  <c:v>53.134631138313566</c:v>
                </c:pt>
                <c:pt idx="99">
                  <c:v>55.471806054504071</c:v>
                </c:pt>
                <c:pt idx="100">
                  <c:v>61.117769228355513</c:v>
                </c:pt>
                <c:pt idx="101">
                  <c:v>71.609255492571222</c:v>
                </c:pt>
                <c:pt idx="102">
                  <c:v>87.133852737994943</c:v>
                </c:pt>
                <c:pt idx="103">
                  <c:v>67.239577033362139</c:v>
                </c:pt>
                <c:pt idx="104">
                  <c:v>45.119091949749588</c:v>
                </c:pt>
                <c:pt idx="105">
                  <c:v>28.210867794387241</c:v>
                </c:pt>
                <c:pt idx="106">
                  <c:v>15.255257666536124</c:v>
                </c:pt>
                <c:pt idx="107">
                  <c:v>4.901411258304222</c:v>
                </c:pt>
                <c:pt idx="108">
                  <c:v>-3.7380726381154261</c:v>
                </c:pt>
                <c:pt idx="109">
                  <c:v>-11.190456610810202</c:v>
                </c:pt>
                <c:pt idx="110">
                  <c:v>-17.767512195240272</c:v>
                </c:pt>
                <c:pt idx="111">
                  <c:v>-23.658320152698622</c:v>
                </c:pt>
                <c:pt idx="112">
                  <c:v>-28.981961218478972</c:v>
                </c:pt>
                <c:pt idx="113">
                  <c:v>-33.816976596312116</c:v>
                </c:pt>
                <c:pt idx="114">
                  <c:v>-38.218032022513142</c:v>
                </c:pt>
                <c:pt idx="115">
                  <c:v>-42.225488531563201</c:v>
                </c:pt>
                <c:pt idx="116">
                  <c:v>-45.870958418453426</c:v>
                </c:pt>
                <c:pt idx="117">
                  <c:v>-49.180541056608519</c:v>
                </c:pt>
                <c:pt idx="118">
                  <c:v>-52.176697987583694</c:v>
                </c:pt>
                <c:pt idx="119">
                  <c:v>-54.87932498504972</c:v>
                </c:pt>
                <c:pt idx="120">
                  <c:v>-57.306351801454298</c:v>
                </c:pt>
                <c:pt idx="121">
                  <c:v>-59.474067930043844</c:v>
                </c:pt>
                <c:pt idx="122">
                  <c:v>-61.397293583030105</c:v>
                </c:pt>
                <c:pt idx="123">
                  <c:v>-63.089467041803161</c:v>
                </c:pt>
                <c:pt idx="124">
                  <c:v>-64.562690204933318</c:v>
                </c:pt>
                <c:pt idx="125">
                  <c:v>-65.82775634441208</c:v>
                </c:pt>
                <c:pt idx="126">
                  <c:v>-66.894173441019092</c:v>
                </c:pt>
                <c:pt idx="127">
                  <c:v>-67.770190324214184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E38-4535-BBB0-1C2C15557A00}"/>
            </c:ext>
          </c:extLst>
        </c:ser>
        <c:ser>
          <c:idx val="2"/>
          <c:order val="3"/>
          <c:tx>
            <c:v>..</c:v>
          </c:tx>
          <c:spPr>
            <a:ln w="25400">
              <a:solidFill>
                <a:srgbClr val="00B050"/>
              </a:solidFill>
              <a:prstDash val="sysDash"/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Bode_Plot!$BI$50:$BI$177</c:f>
              <c:numCache>
                <c:formatCode>General</c:formatCode>
                <c:ptCount val="128"/>
                <c:pt idx="0">
                  <c:v>89.958120220870015</c:v>
                </c:pt>
                <c:pt idx="1">
                  <c:v>89.790107039112357</c:v>
                </c:pt>
                <c:pt idx="2">
                  <c:v>89.581227969191232</c:v>
                </c:pt>
                <c:pt idx="3">
                  <c:v>89.540831369359367</c:v>
                </c:pt>
                <c:pt idx="4">
                  <c:v>89.49653921461659</c:v>
                </c:pt>
                <c:pt idx="5">
                  <c:v>89.447976253071474</c:v>
                </c:pt>
                <c:pt idx="6">
                  <c:v>89.394731215048267</c:v>
                </c:pt>
                <c:pt idx="7">
                  <c:v>89.336353397248601</c:v>
                </c:pt>
                <c:pt idx="8">
                  <c:v>89.27234893613479</c:v>
                </c:pt>
                <c:pt idx="9">
                  <c:v>89.202176746508911</c:v>
                </c:pt>
                <c:pt idx="10">
                  <c:v>89.12524410082959</c:v>
                </c:pt>
                <c:pt idx="11">
                  <c:v>89.040901824927403</c:v>
                </c:pt>
                <c:pt idx="12">
                  <c:v>88.948439086690641</c:v>
                </c:pt>
                <c:pt idx="13">
                  <c:v>88.847077756314022</c:v>
                </c:pt>
                <c:pt idx="14">
                  <c:v>88.735966320254306</c:v>
                </c:pt>
                <c:pt idx="15">
                  <c:v>88.614173336684061</c:v>
                </c:pt>
                <c:pt idx="16">
                  <c:v>88.480680428706719</c:v>
                </c:pt>
                <c:pt idx="17">
                  <c:v>88.334374823865545</c:v>
                </c:pt>
                <c:pt idx="18">
                  <c:v>88.174041465795412</c:v>
                </c:pt>
                <c:pt idx="19">
                  <c:v>87.998354747867083</c:v>
                </c:pt>
                <c:pt idx="20">
                  <c:v>87.805869951455833</c:v>
                </c:pt>
                <c:pt idx="21">
                  <c:v>87.595014515722866</c:v>
                </c:pt>
                <c:pt idx="22">
                  <c:v>87.364079324940946</c:v>
                </c:pt>
                <c:pt idx="23">
                  <c:v>87.111210277712672</c:v>
                </c:pt>
                <c:pt idx="24">
                  <c:v>86.834400505236971</c:v>
                </c:pt>
                <c:pt idx="25">
                  <c:v>86.531483739543205</c:v>
                </c:pt>
                <c:pt idx="26">
                  <c:v>86.200129505050143</c:v>
                </c:pt>
                <c:pt idx="27">
                  <c:v>85.837841026805663</c:v>
                </c:pt>
                <c:pt idx="28">
                  <c:v>85.441957026114565</c:v>
                </c:pt>
                <c:pt idx="29">
                  <c:v>85.009658918959104</c:v>
                </c:pt>
                <c:pt idx="30">
                  <c:v>84.537985353515182</c:v>
                </c:pt>
                <c:pt idx="31">
                  <c:v>84.02385652550727</c:v>
                </c:pt>
                <c:pt idx="32">
                  <c:v>83.464111292146242</c:v>
                </c:pt>
                <c:pt idx="33">
                  <c:v>82.855560751703365</c:v>
                </c:pt>
                <c:pt idx="34">
                  <c:v>82.195062629377887</c:v>
                </c:pt>
                <c:pt idx="35">
                  <c:v>81.479621440491513</c:v>
                </c:pt>
                <c:pt idx="36">
                  <c:v>80.706519870553848</c:v>
                </c:pt>
                <c:pt idx="37">
                  <c:v>79.873486935255059</c:v>
                </c:pt>
                <c:pt idx="38">
                  <c:v>78.978907999873599</c:v>
                </c:pt>
                <c:pt idx="39">
                  <c:v>78.022080300542186</c:v>
                </c:pt>
                <c:pt idx="40">
                  <c:v>77.003514804201359</c:v>
                </c:pt>
                <c:pt idx="41">
                  <c:v>75.925280639641585</c:v>
                </c:pt>
                <c:pt idx="42">
                  <c:v>74.791381593580738</c:v>
                </c:pt>
                <c:pt idx="43">
                  <c:v>73.608145232891857</c:v>
                </c:pt>
                <c:pt idx="44">
                  <c:v>72.384594541148644</c:v>
                </c:pt>
                <c:pt idx="45">
                  <c:v>71.132760761211813</c:v>
                </c:pt>
                <c:pt idx="46">
                  <c:v>69.867886537835446</c:v>
                </c:pt>
                <c:pt idx="47">
                  <c:v>68.608463357717952</c:v>
                </c:pt>
                <c:pt idx="48">
                  <c:v>67.376049821880272</c:v>
                </c:pt>
                <c:pt idx="49">
                  <c:v>66.194829814263969</c:v>
                </c:pt>
                <c:pt idx="50">
                  <c:v>65.09089250032531</c:v>
                </c:pt>
                <c:pt idx="51">
                  <c:v>64.091246709213749</c:v>
                </c:pt>
                <c:pt idx="52">
                  <c:v>63.22261511426575</c:v>
                </c:pt>
                <c:pt idx="53">
                  <c:v>62.510081664907418</c:v>
                </c:pt>
                <c:pt idx="54">
                  <c:v>61.975682731921495</c:v>
                </c:pt>
                <c:pt idx="55">
                  <c:v>61.637035501324007</c:v>
                </c:pt>
                <c:pt idx="56">
                  <c:v>61.50608788162269</c:v>
                </c:pt>
                <c:pt idx="57">
                  <c:v>61.588057863441279</c:v>
                </c:pt>
                <c:pt idx="58">
                  <c:v>61.880613366676201</c:v>
                </c:pt>
                <c:pt idx="59">
                  <c:v>62.373330779480398</c:v>
                </c:pt>
                <c:pt idx="60">
                  <c:v>63.047462370058895</c:v>
                </c:pt>
                <c:pt idx="61">
                  <c:v>63.876036147056539</c:v>
                </c:pt>
                <c:pt idx="62">
                  <c:v>64.82430085796129</c:v>
                </c:pt>
                <c:pt idx="63">
                  <c:v>65.850508823103823</c:v>
                </c:pt>
                <c:pt idx="64">
                  <c:v>66.906999563850661</c:v>
                </c:pt>
                <c:pt idx="65">
                  <c:v>67.941513107968703</c:v>
                </c:pt>
                <c:pt idx="66">
                  <c:v>68.898633995845046</c:v>
                </c:pt>
                <c:pt idx="67">
                  <c:v>69.721257060822751</c:v>
                </c:pt>
                <c:pt idx="68">
                  <c:v>70.351981143113321</c:v>
                </c:pt>
                <c:pt idx="69">
                  <c:v>70.734375050618183</c:v>
                </c:pt>
                <c:pt idx="70">
                  <c:v>70.814109751664731</c:v>
                </c:pt>
                <c:pt idx="71">
                  <c:v>70.539995279510279</c:v>
                </c:pt>
                <c:pt idx="72">
                  <c:v>69.864985560005024</c:v>
                </c:pt>
                <c:pt idx="73">
                  <c:v>68.747212955605292</c:v>
                </c:pt>
                <c:pt idx="74">
                  <c:v>67.151090221188781</c:v>
                </c:pt>
                <c:pt idx="75">
                  <c:v>65.04848088624081</c:v>
                </c:pt>
                <c:pt idx="76">
                  <c:v>62.419900883653057</c:v>
                </c:pt>
                <c:pt idx="77">
                  <c:v>59.255682014102746</c:v>
                </c:pt>
                <c:pt idx="78">
                  <c:v>55.557004229469158</c:v>
                </c:pt>
                <c:pt idx="79">
                  <c:v>51.336688605920415</c:v>
                </c:pt>
                <c:pt idx="80">
                  <c:v>46.619636626393287</c:v>
                </c:pt>
                <c:pt idx="81">
                  <c:v>41.442807095026154</c:v>
                </c:pt>
                <c:pt idx="82">
                  <c:v>35.854645164544308</c:v>
                </c:pt>
                <c:pt idx="83">
                  <c:v>29.913923665386051</c:v>
                </c:pt>
                <c:pt idx="84">
                  <c:v>23.688025920083334</c:v>
                </c:pt>
                <c:pt idx="85">
                  <c:v>17.250784932647974</c:v>
                </c:pt>
                <c:pt idx="86">
                  <c:v>10.680082395572043</c:v>
                </c:pt>
                <c:pt idx="87">
                  <c:v>4.0554850817654255</c:v>
                </c:pt>
                <c:pt idx="88">
                  <c:v>-2.5437579511158503</c:v>
                </c:pt>
                <c:pt idx="89">
                  <c:v>-9.040019307203977</c:v>
                </c:pt>
                <c:pt idx="90">
                  <c:v>-15.35756369022468</c:v>
                </c:pt>
                <c:pt idx="91">
                  <c:v>-21.421439440554366</c:v>
                </c:pt>
                <c:pt idx="92">
                  <c:v>-27.154567767341831</c:v>
                </c:pt>
                <c:pt idx="93">
                  <c:v>-32.472378423347209</c:v>
                </c:pt>
                <c:pt idx="94">
                  <c:v>-37.273825778280127</c:v>
                </c:pt>
                <c:pt idx="95">
                  <c:v>-41.426567670751325</c:v>
                </c:pt>
                <c:pt idx="96">
                  <c:v>-44.742031495891752</c:v>
                </c:pt>
                <c:pt idx="97">
                  <c:v>-46.932240532424203</c:v>
                </c:pt>
                <c:pt idx="98">
                  <c:v>-47.534086116164303</c:v>
                </c:pt>
                <c:pt idx="99">
                  <c:v>-45.783483293336985</c:v>
                </c:pt>
                <c:pt idx="100">
                  <c:v>-40.466460906475078</c:v>
                </c:pt>
                <c:pt idx="101">
                  <c:v>-30.082053258346832</c:v>
                </c:pt>
                <c:pt idx="102">
                  <c:v>-14.478533193593762</c:v>
                </c:pt>
                <c:pt idx="103">
                  <c:v>-34.142570021917265</c:v>
                </c:pt>
                <c:pt idx="104">
                  <c:v>-55.9139602404328</c:v>
                </c:pt>
                <c:pt idx="105">
                  <c:v>-72.383685362486489</c:v>
                </c:pt>
                <c:pt idx="106">
                  <c:v>-84.83733837784591</c:v>
                </c:pt>
                <c:pt idx="107">
                  <c:v>-94.647985125826537</c:v>
                </c:pt>
                <c:pt idx="108">
                  <c:v>-102.72152201754925</c:v>
                </c:pt>
                <c:pt idx="109">
                  <c:v>-109.60017924775065</c:v>
                </c:pt>
                <c:pt idx="110">
                  <c:v>-115.60748633598288</c:v>
                </c:pt>
                <c:pt idx="111">
                  <c:v>-120.9414619799488</c:v>
                </c:pt>
                <c:pt idx="112">
                  <c:v>-125.72772125258902</c:v>
                </c:pt>
                <c:pt idx="113">
                  <c:v>-130.04934587824889</c:v>
                </c:pt>
                <c:pt idx="114">
                  <c:v>-133.96392897484361</c:v>
                </c:pt>
                <c:pt idx="115">
                  <c:v>-137.51348453393464</c:v>
                </c:pt>
                <c:pt idx="116">
                  <c:v>-140.73029469181719</c:v>
                </c:pt>
                <c:pt idx="117">
                  <c:v>-143.64038921884307</c:v>
                </c:pt>
                <c:pt idx="118">
                  <c:v>-146.26561970130098</c:v>
                </c:pt>
                <c:pt idx="119">
                  <c:v>-148.62489096729325</c:v>
                </c:pt>
                <c:pt idx="120">
                  <c:v>-150.73488603522276</c:v>
                </c:pt>
                <c:pt idx="121">
                  <c:v>-152.61048850973793</c:v>
                </c:pt>
                <c:pt idx="122">
                  <c:v>-154.26502682745064</c:v>
                </c:pt>
                <c:pt idx="123">
                  <c:v>-155.71041611131963</c:v>
                </c:pt>
                <c:pt idx="124">
                  <c:v>-156.95724339150502</c:v>
                </c:pt>
                <c:pt idx="125">
                  <c:v>-158.01482347466052</c:v>
                </c:pt>
                <c:pt idx="126">
                  <c:v>-158.8912414992532</c:v>
                </c:pt>
                <c:pt idx="127">
                  <c:v>-159.59339154056059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E38-4535-BBB0-1C2C15557A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0914991"/>
        <c:axId val="280924559"/>
      </c:scatterChart>
      <c:valAx>
        <c:axId val="346961376"/>
        <c:scaling>
          <c:logBase val="10"/>
          <c:orientation val="minMax"/>
          <c:max val="10000000"/>
          <c:min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tint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latin typeface="Times New Roman" pitchFamily="18" charset="0"/>
                    <a:cs typeface="Times New Roman" pitchFamily="18" charset="0"/>
                  </a:rPr>
                  <a:t>Frequency (kHz)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n-US"/>
          </a:p>
        </c:txPr>
        <c:crossAx val="346959416"/>
        <c:crossesAt val="-40"/>
        <c:crossBetween val="midCat"/>
        <c:dispUnits>
          <c:builtInUnit val="thousands"/>
        </c:dispUnits>
      </c:valAx>
      <c:valAx>
        <c:axId val="346959416"/>
        <c:scaling>
          <c:orientation val="minMax"/>
          <c:max val="80"/>
          <c:min val="-40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rgbClr val="0000FF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r>
                  <a:rPr lang="en-US" sz="1200">
                    <a:solidFill>
                      <a:srgbClr val="0000FF"/>
                    </a:solidFill>
                    <a:latin typeface="Times New Roman" pitchFamily="18" charset="0"/>
                    <a:cs typeface="Times New Roman" pitchFamily="18" charset="0"/>
                  </a:rPr>
                  <a:t>Magnitude (dB)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n-US"/>
          </a:p>
        </c:txPr>
        <c:crossAx val="346961376"/>
        <c:crosses val="autoZero"/>
        <c:crossBetween val="midCat"/>
      </c:valAx>
      <c:valAx>
        <c:axId val="280924559"/>
        <c:scaling>
          <c:orientation val="minMax"/>
          <c:max val="120"/>
          <c:min val="-60"/>
        </c:scaling>
        <c:delete val="0"/>
        <c:axPos val="r"/>
        <c:title>
          <c:tx>
            <c:rich>
              <a:bodyPr/>
              <a:lstStyle/>
              <a:p>
                <a:pPr>
                  <a:defRPr sz="1400">
                    <a:solidFill>
                      <a:srgbClr val="00B05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400">
                    <a:solidFill>
                      <a:srgbClr val="00B05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Phase</a:t>
                </a:r>
                <a:r>
                  <a:rPr lang="en-US" sz="1400" baseline="0">
                    <a:solidFill>
                      <a:srgbClr val="00B05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(deg)</a:t>
                </a:r>
                <a:endParaRPr lang="en-US" sz="1400">
                  <a:solidFill>
                    <a:srgbClr val="00B050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280914991"/>
        <c:crosses val="max"/>
        <c:crossBetween val="midCat"/>
        <c:majorUnit val="30"/>
      </c:valAx>
      <c:valAx>
        <c:axId val="280914991"/>
        <c:scaling>
          <c:logBase val="10"/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280924559"/>
        <c:crosses val="autoZero"/>
        <c:crossBetween val="midCat"/>
      </c:valAx>
      <c:spPr>
        <a:solidFill>
          <a:schemeClr val="bg1"/>
        </a:solidFill>
        <a:ln w="25400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9.6948079459610717E-2"/>
          <c:y val="0.66906867082795685"/>
          <c:w val="9.0003454751017703E-2"/>
          <c:h val="0.20976575450614296"/>
        </c:manualLayout>
      </c:layout>
      <c:overlay val="0"/>
      <c:spPr>
        <a:solidFill>
          <a:schemeClr val="bg1"/>
        </a:solidFill>
      </c:spPr>
      <c:txPr>
        <a:bodyPr/>
        <a:lstStyle/>
        <a:p>
          <a:pPr>
            <a:defRPr sz="1200" baseline="0"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latin typeface="Times New Roman" pitchFamily="18" charset="0"/>
                <a:cs typeface="Times New Roman" pitchFamily="18" charset="0"/>
              </a:rPr>
              <a:t>Plant Gain</a:t>
            </a:r>
          </a:p>
        </c:rich>
      </c:tx>
      <c:layout>
        <c:manualLayout>
          <c:xMode val="edge"/>
          <c:yMode val="edge"/>
          <c:x val="0.45800961582863065"/>
          <c:y val="3.006262494531916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9557401236081441E-2"/>
          <c:y val="0.10324218407476761"/>
          <c:w val="0.86311290219379533"/>
          <c:h val="0.80501495099944076"/>
        </c:manualLayout>
      </c:layout>
      <c:scatterChart>
        <c:scatterStyle val="smoothMarker"/>
        <c:varyColors val="0"/>
        <c:ser>
          <c:idx val="0"/>
          <c:order val="0"/>
          <c:tx>
            <c:v>5V0, 150A, 400k, 4ph</c:v>
          </c:tx>
          <c:spPr>
            <a:ln w="19050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Bode_Plot!$BV$50:$BV$177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Bode_Plot!$BW$50:$BW$177</c:f>
              <c:numCache>
                <c:formatCode>General</c:formatCode>
                <c:ptCount val="128"/>
                <c:pt idx="0">
                  <c:v>10.644007890744934</c:v>
                </c:pt>
                <c:pt idx="1">
                  <c:v>10.643973952229835</c:v>
                </c:pt>
                <c:pt idx="2">
                  <c:v>10.643868580233431</c:v>
                </c:pt>
                <c:pt idx="3">
                  <c:v>10.643840116723574</c:v>
                </c:pt>
                <c:pt idx="4">
                  <c:v>10.643805895462329</c:v>
                </c:pt>
                <c:pt idx="5">
                  <c:v>10.64376475159612</c:v>
                </c:pt>
                <c:pt idx="6">
                  <c:v>10.64371528454469</c:v>
                </c:pt>
                <c:pt idx="7">
                  <c:v>10.643655810269506</c:v>
                </c:pt>
                <c:pt idx="8">
                  <c:v>10.643584303864056</c:v>
                </c:pt>
                <c:pt idx="9">
                  <c:v>10.643498330498682</c:v>
                </c:pt>
                <c:pt idx="10">
                  <c:v>10.643394962348705</c:v>
                </c:pt>
                <c:pt idx="11">
                  <c:v>10.64327067864982</c:v>
                </c:pt>
                <c:pt idx="12">
                  <c:v>10.643121245435607</c:v>
                </c:pt>
                <c:pt idx="13">
                  <c:v>10.642941570803419</c:v>
                </c:pt>
                <c:pt idx="14">
                  <c:v>10.642725530691981</c:v>
                </c:pt>
                <c:pt idx="15">
                  <c:v>10.642465759112593</c:v>
                </c:pt>
                <c:pt idx="16">
                  <c:v>10.642153395507103</c:v>
                </c:pt>
                <c:pt idx="17">
                  <c:v>10.641777780363885</c:v>
                </c:pt>
                <c:pt idx="18">
                  <c:v>10.64132608834136</c:v>
                </c:pt>
                <c:pt idx="19">
                  <c:v>10.64078288584918</c:v>
                </c:pt>
                <c:pt idx="20">
                  <c:v>10.640129597216211</c:v>
                </c:pt>
                <c:pt idx="21">
                  <c:v>10.63934386010256</c:v>
                </c:pt>
                <c:pt idx="22">
                  <c:v>10.638398746528548</c:v>
                </c:pt>
                <c:pt idx="23">
                  <c:v>10.637261820573995</c:v>
                </c:pt>
                <c:pt idx="24">
                  <c:v>10.635893997176485</c:v>
                </c:pt>
                <c:pt idx="25">
                  <c:v>10.634248158159751</c:v>
                </c:pt>
                <c:pt idx="26">
                  <c:v>10.632267471171325</c:v>
                </c:pt>
                <c:pt idx="27">
                  <c:v>10.629883343978985</c:v>
                </c:pt>
                <c:pt idx="28">
                  <c:v>10.627012929721975</c:v>
                </c:pt>
                <c:pt idx="29">
                  <c:v>10.623556077131997</c:v>
                </c:pt>
                <c:pt idx="30">
                  <c:v>10.619391591956067</c:v>
                </c:pt>
                <c:pt idx="31">
                  <c:v>10.614372639878628</c:v>
                </c:pt>
                <c:pt idx="32">
                  <c:v>10.608321074600786</c:v>
                </c:pt>
                <c:pt idx="33">
                  <c:v>10.60102041405842</c:v>
                </c:pt>
                <c:pt idx="34">
                  <c:v>10.592207108811767</c:v>
                </c:pt>
                <c:pt idx="35">
                  <c:v>10.581559644143105</c:v>
                </c:pt>
                <c:pt idx="36">
                  <c:v>10.568684885110313</c:v>
                </c:pt>
                <c:pt idx="37">
                  <c:v>10.55310090486817</c:v>
                </c:pt>
                <c:pt idx="38">
                  <c:v>10.534215324602474</c:v>
                </c:pt>
                <c:pt idx="39">
                  <c:v>10.511297934876744</c:v>
                </c:pt>
                <c:pt idx="40">
                  <c:v>10.483446067075715</c:v>
                </c:pt>
                <c:pt idx="41">
                  <c:v>10.449540860238869</c:v>
                </c:pt>
                <c:pt idx="42">
                  <c:v>10.408192274649489</c:v>
                </c:pt>
                <c:pt idx="43">
                  <c:v>10.357670547178143</c:v>
                </c:pt>
                <c:pt idx="44">
                  <c:v>10.295821966859533</c:v>
                </c:pt>
                <c:pt idx="45">
                  <c:v>10.219967720573695</c:v>
                </c:pt>
                <c:pt idx="46">
                  <c:v>10.126786668946778</c:v>
                </c:pt>
                <c:pt idx="47">
                  <c:v>10.012187047525549</c:v>
                </c:pt>
                <c:pt idx="48">
                  <c:v>9.8711792002691485</c:v>
                </c:pt>
                <c:pt idx="49">
                  <c:v>9.6977723456375351</c:v>
                </c:pt>
                <c:pt idx="50">
                  <c:v>9.484932931622966</c:v>
                </c:pt>
                <c:pt idx="51">
                  <c:v>9.2246579133796143</c:v>
                </c:pt>
                <c:pt idx="52">
                  <c:v>8.9082267356085119</c:v>
                </c:pt>
                <c:pt idx="53">
                  <c:v>8.5266893797329981</c:v>
                </c:pt>
                <c:pt idx="54">
                  <c:v>8.0716107632104244</c:v>
                </c:pt>
                <c:pt idx="55">
                  <c:v>7.5360172533969463</c:v>
                </c:pt>
                <c:pt idx="56">
                  <c:v>6.9153932320842522</c:v>
                </c:pt>
                <c:pt idx="57">
                  <c:v>6.2084969649407782</c:v>
                </c:pt>
                <c:pt idx="58">
                  <c:v>5.4177603744357326</c:v>
                </c:pt>
                <c:pt idx="59">
                  <c:v>4.549133929837784</c:v>
                </c:pt>
                <c:pt idx="60">
                  <c:v>3.6114022827156256</c:v>
                </c:pt>
                <c:pt idx="61">
                  <c:v>2.615147893205898</c:v>
                </c:pt>
                <c:pt idx="62">
                  <c:v>1.5716078396360347</c:v>
                </c:pt>
                <c:pt idx="63">
                  <c:v>0.49163955612680499</c:v>
                </c:pt>
                <c:pt idx="64">
                  <c:v>-0.61507570977126269</c:v>
                </c:pt>
                <c:pt idx="65">
                  <c:v>-1.7405539005065251</c:v>
                </c:pt>
                <c:pt idx="66">
                  <c:v>-2.8787777810142705</c:v>
                </c:pt>
                <c:pt idx="67">
                  <c:v>-4.0257667576390608</c:v>
                </c:pt>
                <c:pt idx="68">
                  <c:v>-5.1795015583367796</c:v>
                </c:pt>
                <c:pt idx="69">
                  <c:v>-6.3397503419010679</c:v>
                </c:pt>
                <c:pt idx="70">
                  <c:v>-7.507832444855147</c:v>
                </c:pt>
                <c:pt idx="71">
                  <c:v>-8.6863474085830745</c:v>
                </c:pt>
                <c:pt idx="72">
                  <c:v>-9.8788910334763962</c:v>
                </c:pt>
                <c:pt idx="73">
                  <c:v>-11.089776572057016</c:v>
                </c:pt>
                <c:pt idx="74">
                  <c:v>-12.323777163916802</c:v>
                </c:pt>
                <c:pt idx="75">
                  <c:v>-13.585904661550703</c:v>
                </c:pt>
                <c:pt idx="76">
                  <c:v>-14.881239519845309</c:v>
                </c:pt>
                <c:pt idx="77">
                  <c:v>-16.214825772746899</c:v>
                </c:pt>
                <c:pt idx="78">
                  <c:v>-17.591643686468711</c:v>
                </c:pt>
                <c:pt idx="79">
                  <c:v>-19.016670117963677</c:v>
                </c:pt>
                <c:pt idx="80">
                  <c:v>-20.495032992847037</c:v>
                </c:pt>
                <c:pt idx="81">
                  <c:v>-22.032261927733316</c:v>
                </c:pt>
                <c:pt idx="82">
                  <c:v>-23.634631506253029</c:v>
                </c:pt>
                <c:pt idx="83">
                  <c:v>-25.309584140151156</c:v>
                </c:pt>
                <c:pt idx="84">
                  <c:v>-27.06619579739305</c:v>
                </c:pt>
                <c:pt idx="85">
                  <c:v>-28.915581630143858</c:v>
                </c:pt>
                <c:pt idx="86">
                  <c:v>-30.870951084270189</c:v>
                </c:pt>
                <c:pt idx="87">
                  <c:v>-32.946495404756234</c:v>
                </c:pt>
                <c:pt idx="88">
                  <c:v>-35.152823372432366</c:v>
                </c:pt>
                <c:pt idx="89">
                  <c:v>-37.4827347259722</c:v>
                </c:pt>
                <c:pt idx="90">
                  <c:v>-39.87234851842225</c:v>
                </c:pt>
                <c:pt idx="91">
                  <c:v>-42.116717309580011</c:v>
                </c:pt>
                <c:pt idx="92">
                  <c:v>-43.793083236348316</c:v>
                </c:pt>
                <c:pt idx="93">
                  <c:v>-44.481946577684717</c:v>
                </c:pt>
                <c:pt idx="94">
                  <c:v>-44.282287644509239</c:v>
                </c:pt>
                <c:pt idx="95">
                  <c:v>-43.669521116575332</c:v>
                </c:pt>
                <c:pt idx="96">
                  <c:v>-43.001360839913509</c:v>
                </c:pt>
                <c:pt idx="97">
                  <c:v>-42.427738746089283</c:v>
                </c:pt>
                <c:pt idx="98">
                  <c:v>-41.988561438723416</c:v>
                </c:pt>
                <c:pt idx="99">
                  <c:v>-41.6827774903809</c:v>
                </c:pt>
                <c:pt idx="100">
                  <c:v>-41.497226427795731</c:v>
                </c:pt>
                <c:pt idx="101">
                  <c:v>-41.416800880016147</c:v>
                </c:pt>
                <c:pt idx="102">
                  <c:v>-41.427609467614843</c:v>
                </c:pt>
                <c:pt idx="103">
                  <c:v>-41.517718664410886</c:v>
                </c:pt>
                <c:pt idx="104">
                  <c:v>-41.67712585498208</c:v>
                </c:pt>
                <c:pt idx="105">
                  <c:v>-41.897536441928729</c:v>
                </c:pt>
                <c:pt idx="106">
                  <c:v>-42.17212654235918</c:v>
                </c:pt>
                <c:pt idx="107">
                  <c:v>-42.495332471167458</c:v>
                </c:pt>
                <c:pt idx="108">
                  <c:v>-42.862662189252049</c:v>
                </c:pt>
                <c:pt idx="109">
                  <c:v>-43.270514975446694</c:v>
                </c:pt>
                <c:pt idx="110">
                  <c:v>-43.716001081349262</c:v>
                </c:pt>
                <c:pt idx="111">
                  <c:v>-44.196762565313257</c:v>
                </c:pt>
                <c:pt idx="112">
                  <c:v>-44.710804325062341</c:v>
                </c:pt>
                <c:pt idx="113">
                  <c:v>-45.256347861193134</c:v>
                </c:pt>
                <c:pt idx="114">
                  <c:v>-45.831719046028439</c:v>
                </c:pt>
                <c:pt idx="115">
                  <c:v>-46.435276371233343</c:v>
                </c:pt>
                <c:pt idx="116">
                  <c:v>-47.065379903973977</c:v>
                </c:pt>
                <c:pt idx="117">
                  <c:v>-47.720395566813082</c:v>
                </c:pt>
                <c:pt idx="118">
                  <c:v>-48.398725740273598</c:v>
                </c:pt>
                <c:pt idx="119">
                  <c:v>-49.098855988692833</c:v>
                </c:pt>
                <c:pt idx="120">
                  <c:v>-49.819408553921505</c:v>
                </c:pt>
                <c:pt idx="121">
                  <c:v>-50.559195347982751</c:v>
                </c:pt>
                <c:pt idx="122">
                  <c:v>-51.317265657612403</c:v>
                </c:pt>
                <c:pt idx="123">
                  <c:v>-52.092946001437859</c:v>
                </c:pt>
                <c:pt idx="124">
                  <c:v>-52.885871189843989</c:v>
                </c:pt>
                <c:pt idx="125">
                  <c:v>-53.696006518229133</c:v>
                </c:pt>
                <c:pt idx="126">
                  <c:v>-54.523661239429828</c:v>
                </c:pt>
                <c:pt idx="127">
                  <c:v>-55.36949316568905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293-4044-8A51-721F62B008BC}"/>
            </c:ext>
          </c:extLst>
        </c:ser>
        <c:ser>
          <c:idx val="1"/>
          <c:order val="1"/>
          <c:tx>
            <c:v>simplis</c:v>
          </c:tx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xVal>
            <c:numRef>
              <c:f>Bode_Plot!$BS$50:$BS$150</c:f>
              <c:numCache>
                <c:formatCode>General</c:formatCode>
                <c:ptCount val="101"/>
                <c:pt idx="0">
                  <c:v>100</c:v>
                </c:pt>
                <c:pt idx="1">
                  <c:v>109.647819614318</c:v>
                </c:pt>
                <c:pt idx="2">
                  <c:v>120.226443461741</c:v>
                </c:pt>
                <c:pt idx="3">
                  <c:v>131.82567385563999</c:v>
                </c:pt>
                <c:pt idx="4">
                  <c:v>144.54397707459199</c:v>
                </c:pt>
                <c:pt idx="5">
                  <c:v>158.48931924611099</c:v>
                </c:pt>
                <c:pt idx="6">
                  <c:v>173.78008287493699</c:v>
                </c:pt>
                <c:pt idx="7">
                  <c:v>190.54607179632399</c:v>
                </c:pt>
                <c:pt idx="8">
                  <c:v>208.92961308540299</c:v>
                </c:pt>
                <c:pt idx="9">
                  <c:v>229.08676527677699</c:v>
                </c:pt>
                <c:pt idx="10">
                  <c:v>251.188643150958</c:v>
                </c:pt>
                <c:pt idx="11">
                  <c:v>275.42287033381598</c:v>
                </c:pt>
                <c:pt idx="12">
                  <c:v>301.995172040201</c:v>
                </c:pt>
                <c:pt idx="13">
                  <c:v>331.13112148259103</c:v>
                </c:pt>
                <c:pt idx="14">
                  <c:v>363.07805477010101</c:v>
                </c:pt>
                <c:pt idx="15">
                  <c:v>398.10717055349699</c:v>
                </c:pt>
                <c:pt idx="16">
                  <c:v>436.51583224016503</c:v>
                </c:pt>
                <c:pt idx="17">
                  <c:v>478.63009232263801</c:v>
                </c:pt>
                <c:pt idx="18">
                  <c:v>524.80746024977202</c:v>
                </c:pt>
                <c:pt idx="19">
                  <c:v>575.43993733715604</c:v>
                </c:pt>
                <c:pt idx="20">
                  <c:v>630.957344480193</c:v>
                </c:pt>
                <c:pt idx="21">
                  <c:v>691.83097091893603</c:v>
                </c:pt>
                <c:pt idx="22">
                  <c:v>758.57757502918298</c:v>
                </c:pt>
                <c:pt idx="23">
                  <c:v>831.76377110267094</c:v>
                </c:pt>
                <c:pt idx="24">
                  <c:v>912.01083935590896</c:v>
                </c:pt>
                <c:pt idx="25">
                  <c:v>1000</c:v>
                </c:pt>
                <c:pt idx="26">
                  <c:v>1096.47819614318</c:v>
                </c:pt>
                <c:pt idx="27">
                  <c:v>1202.26443461741</c:v>
                </c:pt>
                <c:pt idx="28">
                  <c:v>1318.2567385564</c:v>
                </c:pt>
                <c:pt idx="29">
                  <c:v>1445.43977074592</c:v>
                </c:pt>
                <c:pt idx="30">
                  <c:v>1584.8931924611099</c:v>
                </c:pt>
                <c:pt idx="31">
                  <c:v>1737.8008287493701</c:v>
                </c:pt>
                <c:pt idx="32">
                  <c:v>1905.4607179632401</c:v>
                </c:pt>
                <c:pt idx="33">
                  <c:v>2089.2961308540298</c:v>
                </c:pt>
                <c:pt idx="34">
                  <c:v>2290.8676527677699</c:v>
                </c:pt>
                <c:pt idx="35">
                  <c:v>2511.8864315095698</c:v>
                </c:pt>
                <c:pt idx="36">
                  <c:v>2754.2287033381599</c:v>
                </c:pt>
                <c:pt idx="37">
                  <c:v>3019.9517204020099</c:v>
                </c:pt>
                <c:pt idx="38">
                  <c:v>3311.3112148259102</c:v>
                </c:pt>
                <c:pt idx="39">
                  <c:v>3630.7805477010102</c:v>
                </c:pt>
                <c:pt idx="40">
                  <c:v>3981.0717055349701</c:v>
                </c:pt>
                <c:pt idx="41">
                  <c:v>4365.1583224016504</c:v>
                </c:pt>
                <c:pt idx="42">
                  <c:v>4786.3009232263803</c:v>
                </c:pt>
                <c:pt idx="43">
                  <c:v>5248.0746024977198</c:v>
                </c:pt>
                <c:pt idx="44">
                  <c:v>5754.3993733715597</c:v>
                </c:pt>
                <c:pt idx="45">
                  <c:v>6309.5734448019302</c:v>
                </c:pt>
                <c:pt idx="46">
                  <c:v>6918.3097091893596</c:v>
                </c:pt>
                <c:pt idx="47">
                  <c:v>7585.7757502918303</c:v>
                </c:pt>
                <c:pt idx="48">
                  <c:v>8317.6377110267003</c:v>
                </c:pt>
                <c:pt idx="49">
                  <c:v>9120.1083935590905</c:v>
                </c:pt>
                <c:pt idx="50">
                  <c:v>10000</c:v>
                </c:pt>
                <c:pt idx="51">
                  <c:v>10964.7819614318</c:v>
                </c:pt>
                <c:pt idx="52">
                  <c:v>12022.6443461741</c:v>
                </c:pt>
                <c:pt idx="53">
                  <c:v>13182.567385564</c:v>
                </c:pt>
                <c:pt idx="54">
                  <c:v>14454.3977074592</c:v>
                </c:pt>
                <c:pt idx="55">
                  <c:v>15848.931924611101</c:v>
                </c:pt>
                <c:pt idx="56">
                  <c:v>17378.0082874937</c:v>
                </c:pt>
                <c:pt idx="57">
                  <c:v>19054.607179632399</c:v>
                </c:pt>
                <c:pt idx="58">
                  <c:v>20892.9613085403</c:v>
                </c:pt>
                <c:pt idx="59">
                  <c:v>22908.676527677701</c:v>
                </c:pt>
                <c:pt idx="60">
                  <c:v>25118.8643150957</c:v>
                </c:pt>
                <c:pt idx="61">
                  <c:v>27542.287033381599</c:v>
                </c:pt>
                <c:pt idx="62">
                  <c:v>30199.5172040201</c:v>
                </c:pt>
                <c:pt idx="63">
                  <c:v>33113.112148259097</c:v>
                </c:pt>
                <c:pt idx="64">
                  <c:v>36307.805477010101</c:v>
                </c:pt>
                <c:pt idx="65">
                  <c:v>39810.717055349698</c:v>
                </c:pt>
                <c:pt idx="66">
                  <c:v>43651.583224016598</c:v>
                </c:pt>
                <c:pt idx="67">
                  <c:v>47863.009232263801</c:v>
                </c:pt>
                <c:pt idx="68">
                  <c:v>52480.746024977198</c:v>
                </c:pt>
                <c:pt idx="69">
                  <c:v>57543.993733715601</c:v>
                </c:pt>
                <c:pt idx="70">
                  <c:v>63095.734448019197</c:v>
                </c:pt>
                <c:pt idx="71">
                  <c:v>69183.097091893593</c:v>
                </c:pt>
                <c:pt idx="72">
                  <c:v>75857.757502918306</c:v>
                </c:pt>
                <c:pt idx="73">
                  <c:v>83176.377110267</c:v>
                </c:pt>
                <c:pt idx="74">
                  <c:v>91201.083935590897</c:v>
                </c:pt>
                <c:pt idx="75">
                  <c:v>100000</c:v>
                </c:pt>
                <c:pt idx="76">
                  <c:v>109647.819614318</c:v>
                </c:pt>
                <c:pt idx="77">
                  <c:v>120226.443461741</c:v>
                </c:pt>
                <c:pt idx="78">
                  <c:v>131825.67385563999</c:v>
                </c:pt>
                <c:pt idx="79">
                  <c:v>144543.977074592</c:v>
                </c:pt>
                <c:pt idx="80">
                  <c:v>158489.319246111</c:v>
                </c:pt>
                <c:pt idx="81">
                  <c:v>173780.08287493701</c:v>
                </c:pt>
                <c:pt idx="82">
                  <c:v>190546.07179632399</c:v>
                </c:pt>
                <c:pt idx="83">
                  <c:v>208929.61308540299</c:v>
                </c:pt>
                <c:pt idx="84">
                  <c:v>229086.76527677701</c:v>
                </c:pt>
                <c:pt idx="85">
                  <c:v>251188.64315095701</c:v>
                </c:pt>
                <c:pt idx="86">
                  <c:v>275422.87033381598</c:v>
                </c:pt>
                <c:pt idx="87">
                  <c:v>301995.17204020103</c:v>
                </c:pt>
                <c:pt idx="88">
                  <c:v>331131.12148259103</c:v>
                </c:pt>
                <c:pt idx="89">
                  <c:v>363078.05477010098</c:v>
                </c:pt>
                <c:pt idx="90">
                  <c:v>398107.17055349698</c:v>
                </c:pt>
                <c:pt idx="91">
                  <c:v>436515.83224016603</c:v>
                </c:pt>
                <c:pt idx="92">
                  <c:v>478630.09232263803</c:v>
                </c:pt>
                <c:pt idx="93">
                  <c:v>524807.46024977195</c:v>
                </c:pt>
                <c:pt idx="94">
                  <c:v>575439.93733715604</c:v>
                </c:pt>
                <c:pt idx="95">
                  <c:v>630957.34448019206</c:v>
                </c:pt>
                <c:pt idx="96">
                  <c:v>691830.97091893596</c:v>
                </c:pt>
                <c:pt idx="97">
                  <c:v>758577.57502918295</c:v>
                </c:pt>
                <c:pt idx="98">
                  <c:v>831763.77110267</c:v>
                </c:pt>
                <c:pt idx="99">
                  <c:v>912010.83935590903</c:v>
                </c:pt>
                <c:pt idx="100">
                  <c:v>1000000</c:v>
                </c:pt>
              </c:numCache>
            </c:numRef>
          </c:xVal>
          <c:yVal>
            <c:numRef>
              <c:f>Bode_Plot!$BT$50:$BT$150</c:f>
              <c:numCache>
                <c:formatCode>General</c:formatCode>
                <c:ptCount val="101"/>
                <c:pt idx="0">
                  <c:v>10.8944593154852</c:v>
                </c:pt>
                <c:pt idx="1">
                  <c:v>10.8944253001451</c:v>
                </c:pt>
                <c:pt idx="2">
                  <c:v>10.894384404282601</c:v>
                </c:pt>
                <c:pt idx="3">
                  <c:v>10.8943352360197</c:v>
                </c:pt>
                <c:pt idx="4">
                  <c:v>10.8942761218721</c:v>
                </c:pt>
                <c:pt idx="5">
                  <c:v>10.8942050497389</c:v>
                </c:pt>
                <c:pt idx="6">
                  <c:v>10.894119600367199</c:v>
                </c:pt>
                <c:pt idx="7">
                  <c:v>10.8940168649233</c:v>
                </c:pt>
                <c:pt idx="8">
                  <c:v>10.893893345843299</c:v>
                </c:pt>
                <c:pt idx="9">
                  <c:v>10.8937448375946</c:v>
                </c:pt>
                <c:pt idx="10">
                  <c:v>10.8935662832454</c:v>
                </c:pt>
                <c:pt idx="11">
                  <c:v>10.893351601895599</c:v>
                </c:pt>
                <c:pt idx="12">
                  <c:v>10.893093481091601</c:v>
                </c:pt>
                <c:pt idx="13">
                  <c:v>10.8927831269846</c:v>
                </c:pt>
                <c:pt idx="14">
                  <c:v>10.8924099636717</c:v>
                </c:pt>
                <c:pt idx="15">
                  <c:v>10.891961271243501</c:v>
                </c:pt>
                <c:pt idx="16">
                  <c:v>10.891421749965501</c:v>
                </c:pt>
                <c:pt idx="17">
                  <c:v>10.8907729953466</c:v>
                </c:pt>
                <c:pt idx="18">
                  <c:v>10.889992865654699</c:v>
                </c:pt>
                <c:pt idx="19">
                  <c:v>10.889054719498199</c:v>
                </c:pt>
                <c:pt idx="20">
                  <c:v>10.8879264963424</c:v>
                </c:pt>
                <c:pt idx="21">
                  <c:v>10.8865696069065</c:v>
                </c:pt>
                <c:pt idx="22">
                  <c:v>10.8849375932112</c:v>
                </c:pt>
                <c:pt idx="23">
                  <c:v>10.8829745090645</c:v>
                </c:pt>
                <c:pt idx="24">
                  <c:v>10.880612960769099</c:v>
                </c:pt>
                <c:pt idx="25">
                  <c:v>10.8777717340782</c:v>
                </c:pt>
                <c:pt idx="26">
                  <c:v>10.874352916170301</c:v>
                </c:pt>
                <c:pt idx="27">
                  <c:v>10.8702383999702</c:v>
                </c:pt>
                <c:pt idx="28">
                  <c:v>10.865285630923101</c:v>
                </c:pt>
                <c:pt idx="29">
                  <c:v>10.8593224220448</c:v>
                </c:pt>
                <c:pt idx="30">
                  <c:v>10.852140619721601</c:v>
                </c:pt>
                <c:pt idx="31">
                  <c:v>10.843488347652899</c:v>
                </c:pt>
                <c:pt idx="32">
                  <c:v>10.833060486680401</c:v>
                </c:pt>
                <c:pt idx="33">
                  <c:v>10.8204869604858</c:v>
                </c:pt>
                <c:pt idx="34">
                  <c:v>10.8053182873004</c:v>
                </c:pt>
                <c:pt idx="35">
                  <c:v>10.7870077225954</c:v>
                </c:pt>
                <c:pt idx="36">
                  <c:v>10.7648891550103</c:v>
                </c:pt>
                <c:pt idx="37">
                  <c:v>10.738149729925199</c:v>
                </c:pt>
                <c:pt idx="38">
                  <c:v>10.705795972520001</c:v>
                </c:pt>
                <c:pt idx="39">
                  <c:v>10.6666119920366</c:v>
                </c:pt>
                <c:pt idx="40">
                  <c:v>10.619108227439501</c:v>
                </c:pt>
                <c:pt idx="41">
                  <c:v>10.561459246103</c:v>
                </c:pt>
                <c:pt idx="42">
                  <c:v>10.491429513066899</c:v>
                </c:pt>
                <c:pt idx="43">
                  <c:v>10.4062870986092</c:v>
                </c:pt>
                <c:pt idx="44">
                  <c:v>10.3027074159438</c:v>
                </c:pt>
                <c:pt idx="45">
                  <c:v>10.176672842537799</c:v>
                </c:pt>
                <c:pt idx="46">
                  <c:v>10.023380080871201</c:v>
                </c:pt>
                <c:pt idx="47">
                  <c:v>9.8371757122638606</c:v>
                </c:pt>
                <c:pt idx="48">
                  <c:v>9.6115510967745106</c:v>
                </c:pt>
                <c:pt idx="49">
                  <c:v>9.3392382763717503</c:v>
                </c:pt>
                <c:pt idx="50">
                  <c:v>9.0124537192813499</c:v>
                </c:pt>
                <c:pt idx="51">
                  <c:v>8.6233284849225296</c:v>
                </c:pt>
                <c:pt idx="52">
                  <c:v>8.1645329775083404</c:v>
                </c:pt>
                <c:pt idx="53">
                  <c:v>7.6300488618561699</c:v>
                </c:pt>
                <c:pt idx="54">
                  <c:v>7.0159710634610004</c:v>
                </c:pt>
                <c:pt idx="55">
                  <c:v>6.3211679014726503</c:v>
                </c:pt>
                <c:pt idx="56">
                  <c:v>5.5476232687034397</c:v>
                </c:pt>
                <c:pt idx="57">
                  <c:v>4.70034990221823</c:v>
                </c:pt>
                <c:pt idx="58">
                  <c:v>3.78687765758314</c:v>
                </c:pt>
                <c:pt idx="59">
                  <c:v>2.8164339803774601</c:v>
                </c:pt>
                <c:pt idx="60">
                  <c:v>1.7989956063335899</c:v>
                </c:pt>
                <c:pt idx="61">
                  <c:v>0.74438435193265096</c:v>
                </c:pt>
                <c:pt idx="62">
                  <c:v>-0.33847409001786499</c:v>
                </c:pt>
                <c:pt idx="63">
                  <c:v>-1.4420759681155999</c:v>
                </c:pt>
                <c:pt idx="64">
                  <c:v>-2.5606500699814498</c:v>
                </c:pt>
                <c:pt idx="65">
                  <c:v>-3.6902827389939401</c:v>
                </c:pt>
                <c:pt idx="66">
                  <c:v>-4.82889714308984</c:v>
                </c:pt>
                <c:pt idx="67">
                  <c:v>-5.9761257208237097</c:v>
                </c:pt>
                <c:pt idx="68">
                  <c:v>-7.1331095673566702</c:v>
                </c:pt>
                <c:pt idx="69">
                  <c:v>-8.30225292370719</c:v>
                </c:pt>
                <c:pt idx="70">
                  <c:v>-9.4869563428394805</c:v>
                </c:pt>
                <c:pt idx="71">
                  <c:v>-10.6913487928745</c:v>
                </c:pt>
                <c:pt idx="72">
                  <c:v>-11.9144591218898</c:v>
                </c:pt>
                <c:pt idx="73">
                  <c:v>-13.172442346427299</c:v>
                </c:pt>
                <c:pt idx="74">
                  <c:v>-14.464526821927</c:v>
                </c:pt>
                <c:pt idx="75">
                  <c:v>-15.7956535764097</c:v>
                </c:pt>
                <c:pt idx="76">
                  <c:v>-17.170982966405401</c:v>
                </c:pt>
                <c:pt idx="77">
                  <c:v>-18.594711459506801</c:v>
                </c:pt>
                <c:pt idx="78">
                  <c:v>-20.0724045488207</c:v>
                </c:pt>
                <c:pt idx="79">
                  <c:v>-21.609415849496902</c:v>
                </c:pt>
                <c:pt idx="80">
                  <c:v>-23.212290901242199</c:v>
                </c:pt>
                <c:pt idx="81">
                  <c:v>-24.888704109717299</c:v>
                </c:pt>
                <c:pt idx="82">
                  <c:v>-26.650935316061101</c:v>
                </c:pt>
                <c:pt idx="83">
                  <c:v>-28.506612809237499</c:v>
                </c:pt>
                <c:pt idx="84">
                  <c:v>-30.4751295268128</c:v>
                </c:pt>
                <c:pt idx="85">
                  <c:v>-32.568060907512901</c:v>
                </c:pt>
                <c:pt idx="86">
                  <c:v>-34.809287721563301</c:v>
                </c:pt>
                <c:pt idx="87">
                  <c:v>-37.207927539781601</c:v>
                </c:pt>
                <c:pt idx="88">
                  <c:v>-39.772970013473099</c:v>
                </c:pt>
                <c:pt idx="89">
                  <c:v>-42.788708506728298</c:v>
                </c:pt>
                <c:pt idx="90">
                  <c:v>-62.683104122963798</c:v>
                </c:pt>
                <c:pt idx="91">
                  <c:v>-44.778753042544501</c:v>
                </c:pt>
                <c:pt idx="92">
                  <c:v>-43.850987742114199</c:v>
                </c:pt>
                <c:pt idx="93">
                  <c:v>-43.118378910408403</c:v>
                </c:pt>
                <c:pt idx="94">
                  <c:v>-42.435999901761498</c:v>
                </c:pt>
                <c:pt idx="95">
                  <c:v>-41.881668032842903</c:v>
                </c:pt>
                <c:pt idx="96">
                  <c:v>-41.552630974602003</c:v>
                </c:pt>
                <c:pt idx="97">
                  <c:v>-42.146202434793402</c:v>
                </c:pt>
                <c:pt idx="98">
                  <c:v>-41.458084729395601</c:v>
                </c:pt>
                <c:pt idx="99">
                  <c:v>-40.529175508308597</c:v>
                </c:pt>
                <c:pt idx="100">
                  <c:v>-40.541420875945001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293-4044-8A51-721F62B008BC}"/>
            </c:ext>
          </c:extLst>
        </c:ser>
        <c:ser>
          <c:idx val="2"/>
          <c:order val="2"/>
          <c:tx>
            <c:v>1V2, 30A, 800k, 1ph</c:v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Bode_Plot!$CC$50:$CC$177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Bode_Plot!$CD$50:$CD$177</c:f>
              <c:numCache>
                <c:formatCode>General</c:formatCode>
                <c:ptCount val="128"/>
                <c:pt idx="0">
                  <c:v>7.0597574321626224</c:v>
                </c:pt>
                <c:pt idx="1">
                  <c:v>7.0595418449267484</c:v>
                </c:pt>
                <c:pt idx="2">
                  <c:v>7.0588725853629439</c:v>
                </c:pt>
                <c:pt idx="3">
                  <c:v>7.0586918265853509</c:v>
                </c:pt>
                <c:pt idx="4">
                  <c:v>7.058474516646573</c:v>
                </c:pt>
                <c:pt idx="5">
                  <c:v>7.0582132669597728</c:v>
                </c:pt>
                <c:pt idx="6">
                  <c:v>7.0578991964545912</c:v>
                </c:pt>
                <c:pt idx="7">
                  <c:v>7.0575216305751347</c:v>
                </c:pt>
                <c:pt idx="8">
                  <c:v>7.0570677397848574</c:v>
                </c:pt>
                <c:pt idx="9">
                  <c:v>7.0565221055157075</c:v>
                </c:pt>
                <c:pt idx="10">
                  <c:v>7.0558661991354024</c:v>
                </c:pt>
                <c:pt idx="11">
                  <c:v>7.0550777566991982</c:v>
                </c:pt>
                <c:pt idx="12">
                  <c:v>7.0541300289274211</c:v>
                </c:pt>
                <c:pt idx="13">
                  <c:v>7.0529908819195981</c:v>
                </c:pt>
                <c:pt idx="14">
                  <c:v>7.051621719495456</c:v>
                </c:pt>
                <c:pt idx="15">
                  <c:v>7.0499761926396758</c:v>
                </c:pt>
                <c:pt idx="16">
                  <c:v>7.0479986552311233</c:v>
                </c:pt>
                <c:pt idx="17">
                  <c:v>7.0456223179622501</c:v>
                </c:pt>
                <c:pt idx="18">
                  <c:v>7.0427670440385937</c:v>
                </c:pt>
                <c:pt idx="19">
                  <c:v>7.039336720858719</c:v>
                </c:pt>
                <c:pt idx="20">
                  <c:v>7.0352161314530672</c:v>
                </c:pt>
                <c:pt idx="21">
                  <c:v>7.0302672381624767</c:v>
                </c:pt>
                <c:pt idx="22">
                  <c:v>7.0243247791933063</c:v>
                </c:pt>
                <c:pt idx="23">
                  <c:v>7.0171910668904571</c:v>
                </c:pt>
                <c:pt idx="24">
                  <c:v>7.0086298658103798</c:v>
                </c:pt>
                <c:pt idx="25">
                  <c:v>6.9983592204799745</c:v>
                </c:pt>
                <c:pt idx="26">
                  <c:v>6.986043099402246</c:v>
                </c:pt>
                <c:pt idx="27">
                  <c:v>6.971281726739333</c:v>
                </c:pt>
                <c:pt idx="28">
                  <c:v>6.9536004908487135</c:v>
                </c:pt>
                <c:pt idx="29">
                  <c:v>6.9324373558310555</c:v>
                </c:pt>
                <c:pt idx="30">
                  <c:v>6.9071287668090866</c:v>
                </c:pt>
                <c:pt idx="31">
                  <c:v>6.8768941422724774</c:v>
                </c:pt>
                <c:pt idx="32">
                  <c:v>6.8408191998909391</c:v>
                </c:pt>
                <c:pt idx="33">
                  <c:v>6.7978385791418958</c:v>
                </c:pt>
                <c:pt idx="34">
                  <c:v>6.746718517362968</c:v>
                </c:pt>
                <c:pt idx="35">
                  <c:v>6.6860407131046902</c:v>
                </c:pt>
                <c:pt idx="36">
                  <c:v>6.6141889688007289</c:v>
                </c:pt>
                <c:pt idx="37">
                  <c:v>6.5293407210939858</c:v>
                </c:pt>
                <c:pt idx="38">
                  <c:v>6.4294660884458281</c:v>
                </c:pt>
                <c:pt idx="39">
                  <c:v>6.3123374970857284</c:v>
                </c:pt>
                <c:pt idx="40">
                  <c:v>6.1755531447458436</c:v>
                </c:pt>
                <c:pt idx="41">
                  <c:v>6.0165773407609402</c:v>
                </c:pt>
                <c:pt idx="42">
                  <c:v>5.8327999187373347</c:v>
                </c:pt>
                <c:pt idx="43">
                  <c:v>5.6216152925511462</c:v>
                </c:pt>
                <c:pt idx="44">
                  <c:v>5.3805192825729549</c:v>
                </c:pt>
                <c:pt idx="45">
                  <c:v>5.107218762877447</c:v>
                </c:pt>
                <c:pt idx="46">
                  <c:v>4.7997459424405333</c:v>
                </c:pt>
                <c:pt idx="47">
                  <c:v>4.456566423680222</c:v>
                </c:pt>
                <c:pt idx="48">
                  <c:v>4.0766689130686187</c:v>
                </c:pt>
                <c:pt idx="49">
                  <c:v>3.6596252533003297</c:v>
                </c:pt>
                <c:pt idx="50">
                  <c:v>3.2056124971047724</c:v>
                </c:pt>
                <c:pt idx="51">
                  <c:v>2.7153935938111502</c:v>
                </c:pt>
                <c:pt idx="52">
                  <c:v>2.1902588745578253</c:v>
                </c:pt>
                <c:pt idx="53">
                  <c:v>1.6319356031939973</c:v>
                </c:pt>
                <c:pt idx="54">
                  <c:v>1.0424762908317504</c:v>
                </c:pt>
                <c:pt idx="55">
                  <c:v>0.42413767434067889</c:v>
                </c:pt>
                <c:pt idx="56">
                  <c:v>-0.22073868838224917</c:v>
                </c:pt>
                <c:pt idx="57">
                  <c:v>-0.88983575292171602</c:v>
                </c:pt>
                <c:pt idx="58">
                  <c:v>-1.5809550208304233</c:v>
                </c:pt>
                <c:pt idx="59">
                  <c:v>-2.2920932074697857</c:v>
                </c:pt>
                <c:pt idx="60">
                  <c:v>-3.0215020592997859</c:v>
                </c:pt>
                <c:pt idx="61">
                  <c:v>-3.7677335604485136</c:v>
                </c:pt>
                <c:pt idx="62">
                  <c:v>-4.5296736149023449</c:v>
                </c:pt>
                <c:pt idx="63">
                  <c:v>-5.3065673687919048</c:v>
                </c:pt>
                <c:pt idx="64">
                  <c:v>-6.0980388132051591</c:v>
                </c:pt>
                <c:pt idx="65">
                  <c:v>-6.9041063519168544</c:v>
                </c:pt>
                <c:pt idx="66">
                  <c:v>-7.7251947893628259</c:v>
                </c:pt>
                <c:pt idx="67">
                  <c:v>-8.5621428511189279</c:v>
                </c:pt>
                <c:pt idx="68">
                  <c:v>-9.4162040714374502</c:v>
                </c:pt>
                <c:pt idx="69">
                  <c:v>-10.28903788028418</c:v>
                </c:pt>
                <c:pt idx="70">
                  <c:v>-11.182687222435348</c:v>
                </c:pt>
                <c:pt idx="71">
                  <c:v>-12.099539244226321</c:v>
                </c:pt>
                <c:pt idx="72">
                  <c:v>-13.042266607930024</c:v>
                </c:pt>
                <c:pt idx="73">
                  <c:v>-14.01374883194727</c:v>
                </c:pt>
                <c:pt idx="74">
                  <c:v>-15.016975563760811</c:v>
                </c:pt>
                <c:pt idx="75">
                  <c:v>-16.054936614174004</c:v>
                </c:pt>
                <c:pt idx="76">
                  <c:v>-17.130506568370954</c:v>
                </c:pt>
                <c:pt idx="77">
                  <c:v>-18.246334410401108</c:v>
                </c:pt>
                <c:pt idx="78">
                  <c:v>-19.404750340203165</c:v>
                </c:pt>
                <c:pt idx="79">
                  <c:v>-20.607702289275064</c:v>
                </c:pt>
                <c:pt idx="80">
                  <c:v>-21.856733145464847</c:v>
                </c:pt>
                <c:pt idx="81">
                  <c:v>-23.153006317978758</c:v>
                </c:pt>
                <c:pt idx="82">
                  <c:v>-24.497382447228091</c:v>
                </c:pt>
                <c:pt idx="83">
                  <c:v>-25.890544671042079</c:v>
                </c:pt>
                <c:pt idx="84">
                  <c:v>-27.333164913180475</c:v>
                </c:pt>
                <c:pt idx="85">
                  <c:v>-28.826099827251642</c:v>
                </c:pt>
                <c:pt idx="86">
                  <c:v>-30.370602111062261</c:v>
                </c:pt>
                <c:pt idx="87">
                  <c:v>-31.968529331618637</c:v>
                </c:pt>
                <c:pt idx="88">
                  <c:v>-33.62252447627889</c:v>
                </c:pt>
                <c:pt idx="89">
                  <c:v>-35.336122671743617</c:v>
                </c:pt>
                <c:pt idx="90">
                  <c:v>-37.113691487134069</c:v>
                </c:pt>
                <c:pt idx="91">
                  <c:v>-38.960005205623702</c:v>
                </c:pt>
                <c:pt idx="92">
                  <c:v>-40.879016363729505</c:v>
                </c:pt>
                <c:pt idx="93">
                  <c:v>-42.870879251301574</c:v>
                </c:pt>
                <c:pt idx="94">
                  <c:v>-44.925272143773618</c:v>
                </c:pt>
                <c:pt idx="95">
                  <c:v>-47.007514859616819</c:v>
                </c:pt>
                <c:pt idx="96">
                  <c:v>-49.033801316148271</c:v>
                </c:pt>
                <c:pt idx="97">
                  <c:v>-50.842738922149664</c:v>
                </c:pt>
                <c:pt idx="98">
                  <c:v>-52.20938875210382</c:v>
                </c:pt>
                <c:pt idx="99">
                  <c:v>-52.967911920587028</c:v>
                </c:pt>
                <c:pt idx="100">
                  <c:v>-53.163766639296874</c:v>
                </c:pt>
                <c:pt idx="101">
                  <c:v>-53.006330883590053</c:v>
                </c:pt>
                <c:pt idx="102">
                  <c:v>-52.704224020400723</c:v>
                </c:pt>
                <c:pt idx="103">
                  <c:v>-52.387139913024505</c:v>
                </c:pt>
                <c:pt idx="104">
                  <c:v>-52.116994779131154</c:v>
                </c:pt>
                <c:pt idx="105">
                  <c:v>-51.917556466303722</c:v>
                </c:pt>
                <c:pt idx="106">
                  <c:v>-51.794786973743676</c:v>
                </c:pt>
                <c:pt idx="107">
                  <c:v>-51.747359053296236</c:v>
                </c:pt>
                <c:pt idx="108">
                  <c:v>-51.771475842936027</c:v>
                </c:pt>
                <c:pt idx="109">
                  <c:v>-51.86288804025645</c:v>
                </c:pt>
                <c:pt idx="110">
                  <c:v>-52.017617259830729</c:v>
                </c:pt>
                <c:pt idx="111">
                  <c:v>-52.232107841127828</c:v>
                </c:pt>
                <c:pt idx="112">
                  <c:v>-52.503146852541363</c:v>
                </c:pt>
                <c:pt idx="113">
                  <c:v>-52.827713314893415</c:v>
                </c:pt>
                <c:pt idx="114">
                  <c:v>-53.202833121825002</c:v>
                </c:pt>
                <c:pt idx="115">
                  <c:v>-53.62547388408332</c:v>
                </c:pt>
                <c:pt idx="116">
                  <c:v>-54.092490923810416</c:v>
                </c:pt>
                <c:pt idx="117">
                  <c:v>-54.600622219405523</c:v>
                </c:pt>
                <c:pt idx="118">
                  <c:v>-55.146522435542053</c:v>
                </c:pt>
                <c:pt idx="119">
                  <c:v>-55.726822702804107</c:v>
                </c:pt>
                <c:pt idx="120">
                  <c:v>-56.338202570901501</c:v>
                </c:pt>
                <c:pt idx="121">
                  <c:v>-56.977462574249422</c:v>
                </c:pt>
                <c:pt idx="122">
                  <c:v>-57.641589081402095</c:v>
                </c:pt>
                <c:pt idx="123">
                  <c:v>-58.327806609387409</c:v>
                </c:pt>
                <c:pt idx="124">
                  <c:v>-59.033615884785426</c:v>
                </c:pt>
                <c:pt idx="125">
                  <c:v>-59.75681825722382</c:v>
                </c:pt>
                <c:pt idx="126">
                  <c:v>-60.495528529913116</c:v>
                </c:pt>
                <c:pt idx="127">
                  <c:v>-61.248178965686328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293-4044-8A51-721F62B008BC}"/>
            </c:ext>
          </c:extLst>
        </c:ser>
        <c:ser>
          <c:idx val="3"/>
          <c:order val="3"/>
          <c:tx>
            <c:v>.</c:v>
          </c:tx>
          <c:spPr>
            <a:ln w="22225">
              <a:solidFill>
                <a:schemeClr val="accent1"/>
              </a:solidFill>
              <a:prstDash val="sysDash"/>
            </a:ln>
          </c:spPr>
          <c:marker>
            <c:symbol val="none"/>
          </c:marker>
          <c:xVal>
            <c:numRef>
              <c:f>Bode_Plot!$BZ$50:$BZ$150</c:f>
              <c:numCache>
                <c:formatCode>General</c:formatCode>
                <c:ptCount val="101"/>
                <c:pt idx="0">
                  <c:v>100</c:v>
                </c:pt>
                <c:pt idx="1">
                  <c:v>109.647819614318</c:v>
                </c:pt>
                <c:pt idx="2">
                  <c:v>120.226443461741</c:v>
                </c:pt>
                <c:pt idx="3">
                  <c:v>131.82567385563999</c:v>
                </c:pt>
                <c:pt idx="4">
                  <c:v>144.54397707459199</c:v>
                </c:pt>
                <c:pt idx="5">
                  <c:v>158.48931924611099</c:v>
                </c:pt>
                <c:pt idx="6">
                  <c:v>173.78008287493699</c:v>
                </c:pt>
                <c:pt idx="7">
                  <c:v>190.54607179632399</c:v>
                </c:pt>
                <c:pt idx="8">
                  <c:v>208.92961308540299</c:v>
                </c:pt>
                <c:pt idx="9">
                  <c:v>229.08676527677699</c:v>
                </c:pt>
                <c:pt idx="10">
                  <c:v>251.188643150958</c:v>
                </c:pt>
                <c:pt idx="11">
                  <c:v>275.42287033381598</c:v>
                </c:pt>
                <c:pt idx="12">
                  <c:v>301.995172040201</c:v>
                </c:pt>
                <c:pt idx="13">
                  <c:v>331.13112148259103</c:v>
                </c:pt>
                <c:pt idx="14">
                  <c:v>363.07805477010101</c:v>
                </c:pt>
                <c:pt idx="15">
                  <c:v>398.10717055349699</c:v>
                </c:pt>
                <c:pt idx="16">
                  <c:v>436.51583224016503</c:v>
                </c:pt>
                <c:pt idx="17">
                  <c:v>478.63009232263801</c:v>
                </c:pt>
                <c:pt idx="18">
                  <c:v>524.80746024977202</c:v>
                </c:pt>
                <c:pt idx="19">
                  <c:v>575.43993733715604</c:v>
                </c:pt>
                <c:pt idx="20">
                  <c:v>630.957344480193</c:v>
                </c:pt>
                <c:pt idx="21">
                  <c:v>691.83097091893603</c:v>
                </c:pt>
                <c:pt idx="22">
                  <c:v>758.57757502918298</c:v>
                </c:pt>
                <c:pt idx="23">
                  <c:v>831.76377110267094</c:v>
                </c:pt>
                <c:pt idx="24">
                  <c:v>912.01083935590896</c:v>
                </c:pt>
                <c:pt idx="25">
                  <c:v>1000</c:v>
                </c:pt>
                <c:pt idx="26">
                  <c:v>1096.47819614318</c:v>
                </c:pt>
                <c:pt idx="27">
                  <c:v>1202.26443461741</c:v>
                </c:pt>
                <c:pt idx="28">
                  <c:v>1318.2567385564</c:v>
                </c:pt>
                <c:pt idx="29">
                  <c:v>1445.43977074592</c:v>
                </c:pt>
                <c:pt idx="30">
                  <c:v>1584.8931924611099</c:v>
                </c:pt>
                <c:pt idx="31">
                  <c:v>1737.8008287493701</c:v>
                </c:pt>
                <c:pt idx="32">
                  <c:v>1905.4607179632401</c:v>
                </c:pt>
                <c:pt idx="33">
                  <c:v>2089.2961308540298</c:v>
                </c:pt>
                <c:pt idx="34">
                  <c:v>2290.8676527677699</c:v>
                </c:pt>
                <c:pt idx="35">
                  <c:v>2511.8864315095698</c:v>
                </c:pt>
                <c:pt idx="36">
                  <c:v>2754.2287033381599</c:v>
                </c:pt>
                <c:pt idx="37">
                  <c:v>3019.9517204020099</c:v>
                </c:pt>
                <c:pt idx="38">
                  <c:v>3311.3112148259102</c:v>
                </c:pt>
                <c:pt idx="39">
                  <c:v>3630.7805477010102</c:v>
                </c:pt>
                <c:pt idx="40">
                  <c:v>3981.0717055349701</c:v>
                </c:pt>
                <c:pt idx="41">
                  <c:v>4365.1583224016504</c:v>
                </c:pt>
                <c:pt idx="42">
                  <c:v>4786.3009232263803</c:v>
                </c:pt>
                <c:pt idx="43">
                  <c:v>5248.0746024977198</c:v>
                </c:pt>
                <c:pt idx="44">
                  <c:v>5754.3993733715597</c:v>
                </c:pt>
                <c:pt idx="45">
                  <c:v>6309.5734448019302</c:v>
                </c:pt>
                <c:pt idx="46">
                  <c:v>6918.3097091893596</c:v>
                </c:pt>
                <c:pt idx="47">
                  <c:v>7585.7757502918303</c:v>
                </c:pt>
                <c:pt idx="48">
                  <c:v>8317.6377110267003</c:v>
                </c:pt>
                <c:pt idx="49">
                  <c:v>9120.1083935590905</c:v>
                </c:pt>
                <c:pt idx="50">
                  <c:v>10000</c:v>
                </c:pt>
                <c:pt idx="51">
                  <c:v>10964.7819614318</c:v>
                </c:pt>
                <c:pt idx="52">
                  <c:v>12022.6443461741</c:v>
                </c:pt>
                <c:pt idx="53">
                  <c:v>13182.567385564</c:v>
                </c:pt>
                <c:pt idx="54">
                  <c:v>14454.3977074592</c:v>
                </c:pt>
                <c:pt idx="55">
                  <c:v>15848.931924611101</c:v>
                </c:pt>
                <c:pt idx="56">
                  <c:v>17378.0082874937</c:v>
                </c:pt>
                <c:pt idx="57">
                  <c:v>19054.607179632399</c:v>
                </c:pt>
                <c:pt idx="58">
                  <c:v>20892.9613085403</c:v>
                </c:pt>
                <c:pt idx="59">
                  <c:v>22908.676527677701</c:v>
                </c:pt>
                <c:pt idx="60">
                  <c:v>25118.8643150957</c:v>
                </c:pt>
                <c:pt idx="61">
                  <c:v>27542.287033381599</c:v>
                </c:pt>
                <c:pt idx="62">
                  <c:v>30199.5172040201</c:v>
                </c:pt>
                <c:pt idx="63">
                  <c:v>33113.112148259097</c:v>
                </c:pt>
                <c:pt idx="64">
                  <c:v>36307.805477010101</c:v>
                </c:pt>
                <c:pt idx="65">
                  <c:v>39810.717055349698</c:v>
                </c:pt>
                <c:pt idx="66">
                  <c:v>43651.583224016598</c:v>
                </c:pt>
                <c:pt idx="67">
                  <c:v>47863.009232263801</c:v>
                </c:pt>
                <c:pt idx="68">
                  <c:v>52480.746024977198</c:v>
                </c:pt>
                <c:pt idx="69">
                  <c:v>57543.993733715601</c:v>
                </c:pt>
                <c:pt idx="70">
                  <c:v>63095.734448019197</c:v>
                </c:pt>
                <c:pt idx="71">
                  <c:v>69183.097091893593</c:v>
                </c:pt>
                <c:pt idx="72">
                  <c:v>75857.757502918306</c:v>
                </c:pt>
                <c:pt idx="73">
                  <c:v>83176.377110267</c:v>
                </c:pt>
                <c:pt idx="74">
                  <c:v>91201.083935590897</c:v>
                </c:pt>
                <c:pt idx="75">
                  <c:v>100000</c:v>
                </c:pt>
                <c:pt idx="76">
                  <c:v>109647.819614318</c:v>
                </c:pt>
                <c:pt idx="77">
                  <c:v>120226.443461741</c:v>
                </c:pt>
                <c:pt idx="78">
                  <c:v>131825.67385563999</c:v>
                </c:pt>
                <c:pt idx="79">
                  <c:v>144543.977074592</c:v>
                </c:pt>
                <c:pt idx="80">
                  <c:v>158489.319246111</c:v>
                </c:pt>
                <c:pt idx="81">
                  <c:v>173780.08287493701</c:v>
                </c:pt>
                <c:pt idx="82">
                  <c:v>190546.07179632399</c:v>
                </c:pt>
                <c:pt idx="83">
                  <c:v>208929.61308540299</c:v>
                </c:pt>
                <c:pt idx="84">
                  <c:v>229086.76527677701</c:v>
                </c:pt>
                <c:pt idx="85">
                  <c:v>251188.64315095701</c:v>
                </c:pt>
                <c:pt idx="86">
                  <c:v>275422.87033381598</c:v>
                </c:pt>
                <c:pt idx="87">
                  <c:v>301995.17204020103</c:v>
                </c:pt>
                <c:pt idx="88">
                  <c:v>331131.12148259103</c:v>
                </c:pt>
                <c:pt idx="89">
                  <c:v>363078.05477010098</c:v>
                </c:pt>
                <c:pt idx="90">
                  <c:v>398107.17055349698</c:v>
                </c:pt>
                <c:pt idx="91">
                  <c:v>436515.83224016603</c:v>
                </c:pt>
                <c:pt idx="92">
                  <c:v>478630.09232263803</c:v>
                </c:pt>
                <c:pt idx="93">
                  <c:v>524807.46024977195</c:v>
                </c:pt>
                <c:pt idx="94">
                  <c:v>575439.93733715604</c:v>
                </c:pt>
                <c:pt idx="95">
                  <c:v>630957.34448019206</c:v>
                </c:pt>
                <c:pt idx="96">
                  <c:v>691830.97091893596</c:v>
                </c:pt>
                <c:pt idx="97">
                  <c:v>758577.57502918295</c:v>
                </c:pt>
                <c:pt idx="98">
                  <c:v>831763.77110267</c:v>
                </c:pt>
                <c:pt idx="99">
                  <c:v>912010.83935590903</c:v>
                </c:pt>
                <c:pt idx="100">
                  <c:v>1000000</c:v>
                </c:pt>
              </c:numCache>
            </c:numRef>
          </c:xVal>
          <c:yVal>
            <c:numRef>
              <c:f>Bode_Plot!$CA$50:$CA$150</c:f>
              <c:numCache>
                <c:formatCode>General</c:formatCode>
                <c:ptCount val="101"/>
                <c:pt idx="0">
                  <c:v>6.7866222707325603</c:v>
                </c:pt>
                <c:pt idx="1">
                  <c:v>6.7864533934451696</c:v>
                </c:pt>
                <c:pt idx="2">
                  <c:v>6.7862503669096501</c:v>
                </c:pt>
                <c:pt idx="3">
                  <c:v>6.7860062877858001</c:v>
                </c:pt>
                <c:pt idx="4">
                  <c:v>6.7857128581474901</c:v>
                </c:pt>
                <c:pt idx="5">
                  <c:v>6.7853601041553002</c:v>
                </c:pt>
                <c:pt idx="6">
                  <c:v>6.7849360381932096</c:v>
                </c:pt>
                <c:pt idx="7">
                  <c:v>6.78442625312519</c:v>
                </c:pt>
                <c:pt idx="8">
                  <c:v>6.78381343522374</c:v>
                </c:pt>
                <c:pt idx="9">
                  <c:v>6.7830767795690399</c:v>
                </c:pt>
                <c:pt idx="10">
                  <c:v>6.7821912886961799</c:v>
                </c:pt>
                <c:pt idx="11">
                  <c:v>6.7811269314964999</c:v>
                </c:pt>
                <c:pt idx="12">
                  <c:v>6.7798476350680099</c:v>
                </c:pt>
                <c:pt idx="13">
                  <c:v>6.7783100770626898</c:v>
                </c:pt>
                <c:pt idx="14">
                  <c:v>6.7764622401512504</c:v>
                </c:pt>
                <c:pt idx="15">
                  <c:v>6.7742416832827397</c:v>
                </c:pt>
                <c:pt idx="16">
                  <c:v>6.7715734765015396</c:v>
                </c:pt>
                <c:pt idx="17">
                  <c:v>6.7683677370922197</c:v>
                </c:pt>
                <c:pt idx="18">
                  <c:v>6.7645166947132198</c:v>
                </c:pt>
                <c:pt idx="19">
                  <c:v>6.75989120221017</c:v>
                </c:pt>
                <c:pt idx="20">
                  <c:v>6.7543365970237499</c:v>
                </c:pt>
                <c:pt idx="21">
                  <c:v>6.7476678061956896</c:v>
                </c:pt>
                <c:pt idx="22">
                  <c:v>6.7396635766148698</c:v>
                </c:pt>
                <c:pt idx="23">
                  <c:v>6.7300597026609799</c:v>
                </c:pt>
                <c:pt idx="24">
                  <c:v>6.7185411179011503</c:v>
                </c:pt>
                <c:pt idx="25">
                  <c:v>6.7047327186177004</c:v>
                </c:pt>
                <c:pt idx="26">
                  <c:v>6.6881887991527504</c:v>
                </c:pt>
                <c:pt idx="27">
                  <c:v>6.6683810076583097</c:v>
                </c:pt>
                <c:pt idx="28">
                  <c:v>6.6446847838031298</c:v>
                </c:pt>
                <c:pt idx="29">
                  <c:v>6.6163643265570604</c:v>
                </c:pt>
                <c:pt idx="30">
                  <c:v>6.5825562724543198</c:v>
                </c:pt>
                <c:pt idx="31">
                  <c:v>6.54225245561185</c:v>
                </c:pt>
                <c:pt idx="32">
                  <c:v>6.4942823836538199</c:v>
                </c:pt>
                <c:pt idx="33">
                  <c:v>6.4372964083592201</c:v>
                </c:pt>
                <c:pt idx="34">
                  <c:v>6.3697509984359897</c:v>
                </c:pt>
                <c:pt idx="35">
                  <c:v>6.2898980199411003</c:v>
                </c:pt>
                <c:pt idx="36">
                  <c:v>6.1957804574699198</c:v>
                </c:pt>
                <c:pt idx="37">
                  <c:v>6.0852374881750002</c:v>
                </c:pt>
                <c:pt idx="38">
                  <c:v>5.9559221265199902</c:v>
                </c:pt>
                <c:pt idx="39">
                  <c:v>5.8053346185545802</c:v>
                </c:pt>
                <c:pt idx="40">
                  <c:v>5.6308741792981198</c:v>
                </c:pt>
                <c:pt idx="41">
                  <c:v>5.4299103501700596</c:v>
                </c:pt>
                <c:pt idx="42">
                  <c:v>5.1998731103989799</c:v>
                </c:pt>
                <c:pt idx="43">
                  <c:v>4.9383579996361702</c:v>
                </c:pt>
                <c:pt idx="44">
                  <c:v>4.6432392581639297</c:v>
                </c:pt>
                <c:pt idx="45">
                  <c:v>4.31278100918039</c:v>
                </c:pt>
                <c:pt idx="46">
                  <c:v>3.9457346155686799</c:v>
                </c:pt>
                <c:pt idx="47">
                  <c:v>3.5414103056106598</c:v>
                </c:pt>
                <c:pt idx="48">
                  <c:v>3.0997133799203298</c:v>
                </c:pt>
                <c:pt idx="49">
                  <c:v>2.6211395833235298</c:v>
                </c:pt>
                <c:pt idx="50">
                  <c:v>2.1067297092583401</c:v>
                </c:pt>
                <c:pt idx="51">
                  <c:v>1.5579889535143401</c:v>
                </c:pt>
                <c:pt idx="52">
                  <c:v>0.97678071413532697</c:v>
                </c:pt>
                <c:pt idx="53">
                  <c:v>0.36520663568074602</c:v>
                </c:pt>
                <c:pt idx="54">
                  <c:v>-0.27451544617514201</c:v>
                </c:pt>
                <c:pt idx="55">
                  <c:v>-0.94016595866506403</c:v>
                </c:pt>
                <c:pt idx="56">
                  <c:v>-1.6296237337197801</c:v>
                </c:pt>
                <c:pt idx="57">
                  <c:v>-2.3409483327230598</c:v>
                </c:pt>
                <c:pt idx="58">
                  <c:v>-3.07244383935029</c:v>
                </c:pt>
                <c:pt idx="59">
                  <c:v>-3.8227054323406202</c:v>
                </c:pt>
                <c:pt idx="60">
                  <c:v>-4.5906512315214103</c:v>
                </c:pt>
                <c:pt idx="61">
                  <c:v>-5.3755423461032699</c:v>
                </c:pt>
                <c:pt idx="62">
                  <c:v>-6.1769939289129701</c:v>
                </c:pt>
                <c:pt idx="63">
                  <c:v>-6.9949795475091197</c:v>
                </c:pt>
                <c:pt idx="64">
                  <c:v>-7.8298304796345803</c:v>
                </c:pt>
                <c:pt idx="65">
                  <c:v>-8.6822307284123106</c:v>
                </c:pt>
                <c:pt idx="66">
                  <c:v>-9.5532076860324704</c:v>
                </c:pt>
                <c:pt idx="67">
                  <c:v>-10.444117484706601</c:v>
                </c:pt>
                <c:pt idx="68">
                  <c:v>-11.3566232096222</c:v>
                </c:pt>
                <c:pt idx="69">
                  <c:v>-12.292663423186101</c:v>
                </c:pt>
                <c:pt idx="70">
                  <c:v>-13.2544080678427</c:v>
                </c:pt>
                <c:pt idx="71">
                  <c:v>-14.244199057478401</c:v>
                </c:pt>
                <c:pt idx="72">
                  <c:v>-15.2644740109192</c:v>
                </c:pt>
                <c:pt idx="73">
                  <c:v>-16.317673756252098</c:v>
                </c:pt>
                <c:pt idx="74">
                  <c:v>-17.4061372746561</c:v>
                </c:pt>
                <c:pt idx="75">
                  <c:v>-18.531991100849702</c:v>
                </c:pt>
                <c:pt idx="76">
                  <c:v>-19.697042948502801</c:v>
                </c:pt>
                <c:pt idx="77">
                  <c:v>-20.9026904257395</c:v>
                </c:pt>
                <c:pt idx="78">
                  <c:v>-22.149854246420901</c:v>
                </c:pt>
                <c:pt idx="79">
                  <c:v>-23.439396137042898</c:v>
                </c:pt>
                <c:pt idx="80">
                  <c:v>-24.770451670891902</c:v>
                </c:pt>
                <c:pt idx="81">
                  <c:v>-26.142724603549699</c:v>
                </c:pt>
                <c:pt idx="82">
                  <c:v>-27.555070558115101</c:v>
                </c:pt>
                <c:pt idx="83">
                  <c:v>-29.005776606087899</c:v>
                </c:pt>
                <c:pt idx="84">
                  <c:v>-30.492316924853299</c:v>
                </c:pt>
                <c:pt idx="85">
                  <c:v>-32.011419690489703</c:v>
                </c:pt>
                <c:pt idx="86">
                  <c:v>-33.557868174477498</c:v>
                </c:pt>
                <c:pt idx="87">
                  <c:v>-35.122867386937003</c:v>
                </c:pt>
                <c:pt idx="88">
                  <c:v>-36.6969589504208</c:v>
                </c:pt>
                <c:pt idx="89">
                  <c:v>-38.260297476611903</c:v>
                </c:pt>
                <c:pt idx="90">
                  <c:v>-39.807648899222102</c:v>
                </c:pt>
                <c:pt idx="91">
                  <c:v>-41.351003141090203</c:v>
                </c:pt>
                <c:pt idx="92">
                  <c:v>-43.004750260527203</c:v>
                </c:pt>
                <c:pt idx="93">
                  <c:v>-45.068036626520801</c:v>
                </c:pt>
                <c:pt idx="94">
                  <c:v>-47.834398391202903</c:v>
                </c:pt>
                <c:pt idx="95">
                  <c:v>-51.270154721150597</c:v>
                </c:pt>
                <c:pt idx="96">
                  <c:v>-55.375996552231001</c:v>
                </c:pt>
                <c:pt idx="97">
                  <c:v>-65.800678586504603</c:v>
                </c:pt>
                <c:pt idx="98">
                  <c:v>-71.210417515960202</c:v>
                </c:pt>
                <c:pt idx="99">
                  <c:v>-55.502341088532297</c:v>
                </c:pt>
                <c:pt idx="100">
                  <c:v>-51.312324782576603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293-4044-8A51-721F62B008BC}"/>
            </c:ext>
          </c:extLst>
        </c:ser>
        <c:ser>
          <c:idx val="4"/>
          <c:order val="4"/>
          <c:tx>
            <c:v>5V0, 30A, 400k, 1ph</c:v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xVal>
            <c:numRef>
              <c:f>Bode_Plot!$CJ$50:$CJ$177</c:f>
              <c:numCache>
                <c:formatCode>General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Bode_Plot!$CK$50:$CK$177</c:f>
              <c:numCache>
                <c:formatCode>General</c:formatCode>
                <c:ptCount val="128"/>
                <c:pt idx="0">
                  <c:v>11.047270270047395</c:v>
                </c:pt>
                <c:pt idx="1">
                  <c:v>11.047356303439869</c:v>
                </c:pt>
                <c:pt idx="2">
                  <c:v>11.047623350880603</c:v>
                </c:pt>
                <c:pt idx="3">
                  <c:v>11.047695469101008</c:v>
                </c:pt>
                <c:pt idx="4">
                  <c:v>11.047782165806519</c:v>
                </c:pt>
                <c:pt idx="5">
                  <c:v>11.047886385934332</c:v>
                </c:pt>
                <c:pt idx="6">
                  <c:v>11.048011668397038</c:v>
                </c:pt>
                <c:pt idx="7">
                  <c:v>11.048162265473401</c:v>
                </c:pt>
                <c:pt idx="8">
                  <c:v>11.048343286014362</c:v>
                </c:pt>
                <c:pt idx="9">
                  <c:v>11.04856086713041</c:v>
                </c:pt>
                <c:pt idx="10">
                  <c:v>11.048822379907868</c:v>
                </c:pt>
                <c:pt idx="11">
                  <c:v>11.049136675723121</c:v>
                </c:pt>
                <c:pt idx="12">
                  <c:v>11.049514380915701</c:v>
                </c:pt>
                <c:pt idx="13">
                  <c:v>11.049968248948883</c:v>
                </c:pt>
                <c:pt idx="14">
                  <c:v>11.050513580738601</c:v>
                </c:pt>
                <c:pt idx="15">
                  <c:v>11.051168725569854</c:v>
                </c:pt>
                <c:pt idx="16">
                  <c:v>11.051955676915385</c:v>
                </c:pt>
                <c:pt idx="17">
                  <c:v>11.052900779475801</c:v>
                </c:pt>
                <c:pt idx="18">
                  <c:v>11.054035565763819</c:v>
                </c:pt>
                <c:pt idx="19">
                  <c:v>11.055397742380746</c:v>
                </c:pt>
                <c:pt idx="20">
                  <c:v>11.057032347465487</c:v>
                </c:pt>
                <c:pt idx="21">
                  <c:v>11.058993101151309</c:v>
                </c:pt>
                <c:pt idx="22">
                  <c:v>11.061343969458404</c:v>
                </c:pt>
                <c:pt idx="23">
                  <c:v>11.064160957669083</c:v>
                </c:pt>
                <c:pt idx="24">
                  <c:v>11.067534140016669</c:v>
                </c:pt>
                <c:pt idx="25">
                  <c:v>11.071569915607324</c:v>
                </c:pt>
                <c:pt idx="26">
                  <c:v>11.076393451539797</c:v>
                </c:pt>
                <c:pt idx="27">
                  <c:v>11.082151226570716</c:v>
                </c:pt>
                <c:pt idx="28">
                  <c:v>11.089013512342188</c:v>
                </c:pt>
                <c:pt idx="29">
                  <c:v>11.097176508859206</c:v>
                </c:pt>
                <c:pt idx="30">
                  <c:v>11.106863663343782</c:v>
                </c:pt>
                <c:pt idx="31">
                  <c:v>11.118325411424957</c:v>
                </c:pt>
                <c:pt idx="32">
                  <c:v>11.131836132989525</c:v>
                </c:pt>
                <c:pt idx="33">
                  <c:v>11.14768643000529</c:v>
                </c:pt>
                <c:pt idx="34">
                  <c:v>11.166167786116702</c:v>
                </c:pt>
                <c:pt idx="35">
                  <c:v>11.187545071364207</c:v>
                </c:pt>
                <c:pt idx="36">
                  <c:v>11.212009934638756</c:v>
                </c:pt>
                <c:pt idx="37">
                  <c:v>11.239604487632411</c:v>
                </c:pt>
                <c:pt idx="38">
                  <c:v>11.270099297817044</c:v>
                </c:pt>
                <c:pt idx="39">
                  <c:v>11.302801952784421</c:v>
                </c:pt>
                <c:pt idx="40">
                  <c:v>11.336261848859831</c:v>
                </c:pt>
                <c:pt idx="41">
                  <c:v>11.367823757338595</c:v>
                </c:pt>
                <c:pt idx="42">
                  <c:v>11.392970181032357</c:v>
                </c:pt>
                <c:pt idx="43">
                  <c:v>11.40439037001503</c:v>
                </c:pt>
                <c:pt idx="44">
                  <c:v>11.39074644087402</c:v>
                </c:pt>
                <c:pt idx="45">
                  <c:v>11.335223251843946</c:v>
                </c:pt>
                <c:pt idx="46">
                  <c:v>11.214221475615716</c:v>
                </c:pt>
                <c:pt idx="47">
                  <c:v>10.997024936865465</c:v>
                </c:pt>
                <c:pt idx="48">
                  <c:v>10.647774933973649</c:v>
                </c:pt>
                <c:pt idx="49">
                  <c:v>10.130977305087022</c:v>
                </c:pt>
                <c:pt idx="50">
                  <c:v>9.4201333309382651</c:v>
                </c:pt>
                <c:pt idx="51">
                  <c:v>8.5061321767629359</c:v>
                </c:pt>
                <c:pt idx="52">
                  <c:v>7.4005052767061894</c:v>
                </c:pt>
                <c:pt idx="53">
                  <c:v>6.1313338125455985</c:v>
                </c:pt>
                <c:pt idx="54">
                  <c:v>4.7345613512538973</c:v>
                </c:pt>
                <c:pt idx="55">
                  <c:v>3.2456241225964226</c:v>
                </c:pt>
                <c:pt idx="56">
                  <c:v>1.6944017745677522</c:v>
                </c:pt>
                <c:pt idx="57">
                  <c:v>0.10360188972308876</c:v>
                </c:pt>
                <c:pt idx="58">
                  <c:v>-1.5107261633786542</c:v>
                </c:pt>
                <c:pt idx="59">
                  <c:v>-3.1378342640032808</c:v>
                </c:pt>
                <c:pt idx="60">
                  <c:v>-4.7708406903548664</c:v>
                </c:pt>
                <c:pt idx="61">
                  <c:v>-6.405532931826543</c:v>
                </c:pt>
                <c:pt idx="62">
                  <c:v>-8.039473907453921</c:v>
                </c:pt>
                <c:pt idx="63">
                  <c:v>-9.6713748969370599</c:v>
                </c:pt>
                <c:pt idx="64">
                  <c:v>-11.300672184462799</c:v>
                </c:pt>
                <c:pt idx="65">
                  <c:v>-12.927248750382613</c:v>
                </c:pt>
                <c:pt idx="66">
                  <c:v>-14.55125530026632</c:v>
                </c:pt>
                <c:pt idx="67">
                  <c:v>-16.172997814215904</c:v>
                </c:pt>
                <c:pt idx="68">
                  <c:v>-17.792869070190459</c:v>
                </c:pt>
                <c:pt idx="69">
                  <c:v>-19.411309050491393</c:v>
                </c:pt>
                <c:pt idx="70">
                  <c:v>-21.028784307335453</c:v>
                </c:pt>
                <c:pt idx="71">
                  <c:v>-22.645779859630416</c:v>
                </c:pt>
                <c:pt idx="72">
                  <c:v>-24.262799533066982</c:v>
                </c:pt>
                <c:pt idx="73">
                  <c:v>-25.880372218966841</c:v>
                </c:pt>
                <c:pt idx="74">
                  <c:v>-27.499062578772136</c:v>
                </c:pt>
                <c:pt idx="75">
                  <c:v>-29.11948544037589</c:v>
                </c:pt>
                <c:pt idx="76">
                  <c:v>-30.742323640197199</c:v>
                </c:pt>
                <c:pt idx="77">
                  <c:v>-32.368349441486814</c:v>
                </c:pt>
                <c:pt idx="78">
                  <c:v>-33.998449958282684</c:v>
                </c:pt>
                <c:pt idx="79">
                  <c:v>-35.633657270256634</c:v>
                </c:pt>
                <c:pt idx="80">
                  <c:v>-37.275184145752142</c:v>
                </c:pt>
                <c:pt idx="81">
                  <c:v>-38.924466501933523</c:v>
                </c:pt>
                <c:pt idx="82">
                  <c:v>-40.583213902077006</c:v>
                </c:pt>
                <c:pt idx="83">
                  <c:v>-42.253469458360591</c:v>
                </c:pt>
                <c:pt idx="84">
                  <c:v>-43.937680328008931</c:v>
                </c:pt>
                <c:pt idx="85">
                  <c:v>-45.638779243122727</c:v>
                </c:pt>
                <c:pt idx="86">
                  <c:v>-47.360275521019247</c:v>
                </c:pt>
                <c:pt idx="87">
                  <c:v>-49.106349316484</c:v>
                </c:pt>
                <c:pt idx="88">
                  <c:v>-50.881932399231324</c:v>
                </c:pt>
                <c:pt idx="89">
                  <c:v>-52.692735748682729</c:v>
                </c:pt>
                <c:pt idx="90">
                  <c:v>-54.545134040994625</c:v>
                </c:pt>
                <c:pt idx="91">
                  <c:v>-56.445707339694913</c:v>
                </c:pt>
                <c:pt idx="92">
                  <c:v>-58.400001094099281</c:v>
                </c:pt>
                <c:pt idx="93">
                  <c:v>-60.409555374284437</c:v>
                </c:pt>
                <c:pt idx="94">
                  <c:v>-62.465245196468253</c:v>
                </c:pt>
                <c:pt idx="95">
                  <c:v>-64.5334227894148</c:v>
                </c:pt>
                <c:pt idx="96">
                  <c:v>-66.531175288844125</c:v>
                </c:pt>
                <c:pt idx="97">
                  <c:v>-68.29788365794991</c:v>
                </c:pt>
                <c:pt idx="98">
                  <c:v>-69.609271765940989</c:v>
                </c:pt>
                <c:pt idx="99">
                  <c:v>-70.30127807753081</c:v>
                </c:pt>
                <c:pt idx="100">
                  <c:v>-70.418585092911897</c:v>
                </c:pt>
                <c:pt idx="101">
                  <c:v>-70.17050969115077</c:v>
                </c:pt>
                <c:pt idx="102">
                  <c:v>-69.765774253332069</c:v>
                </c:pt>
                <c:pt idx="103">
                  <c:v>-69.333960535493645</c:v>
                </c:pt>
                <c:pt idx="104">
                  <c:v>-68.936656585330212</c:v>
                </c:pt>
                <c:pt idx="105">
                  <c:v>-68.597112439566132</c:v>
                </c:pt>
                <c:pt idx="106">
                  <c:v>-68.320641591804446</c:v>
                </c:pt>
                <c:pt idx="107">
                  <c:v>-68.105229510358868</c:v>
                </c:pt>
                <c:pt idx="108">
                  <c:v>-67.946473440831227</c:v>
                </c:pt>
                <c:pt idx="109">
                  <c:v>-67.839738314618756</c:v>
                </c:pt>
                <c:pt idx="110">
                  <c:v>-67.781023487916869</c:v>
                </c:pt>
                <c:pt idx="111">
                  <c:v>-67.767245694888572</c:v>
                </c:pt>
                <c:pt idx="112">
                  <c:v>-67.796259986104289</c:v>
                </c:pt>
                <c:pt idx="113">
                  <c:v>-67.866763073784171</c:v>
                </c:pt>
                <c:pt idx="114">
                  <c:v>-67.978143137038032</c:v>
                </c:pt>
                <c:pt idx="115">
                  <c:v>-68.130304682998101</c:v>
                </c:pt>
                <c:pt idx="116">
                  <c:v>-68.323482599957643</c:v>
                </c:pt>
                <c:pt idx="117">
                  <c:v>-68.558054954991746</c:v>
                </c:pt>
                <c:pt idx="118">
                  <c:v>-68.834363867533256</c:v>
                </c:pt>
                <c:pt idx="119">
                  <c:v>-69.152554854753205</c:v>
                </c:pt>
                <c:pt idx="120">
                  <c:v>-69.512445486070447</c:v>
                </c:pt>
                <c:pt idx="121">
                  <c:v>-69.913432893797292</c:v>
                </c:pt>
                <c:pt idx="122">
                  <c:v>-70.35444634158118</c:v>
                </c:pt>
                <c:pt idx="123">
                  <c:v>-70.833946113367517</c:v>
                </c:pt>
                <c:pt idx="124">
                  <c:v>-71.349964515928093</c:v>
                </c:pt>
                <c:pt idx="125">
                  <c:v>-71.900180063870195</c:v>
                </c:pt>
                <c:pt idx="126">
                  <c:v>-72.482012970115491</c:v>
                </c:pt>
                <c:pt idx="127">
                  <c:v>-73.092729356484867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293-4044-8A51-721F62B008BC}"/>
            </c:ext>
          </c:extLst>
        </c:ser>
        <c:ser>
          <c:idx val="5"/>
          <c:order val="5"/>
          <c:tx>
            <c:v>..</c:v>
          </c:tx>
          <c:spPr>
            <a:ln>
              <a:solidFill>
                <a:schemeClr val="accent2"/>
              </a:solidFill>
              <a:prstDash val="sysDash"/>
            </a:ln>
          </c:spPr>
          <c:marker>
            <c:symbol val="none"/>
          </c:marker>
          <c:xVal>
            <c:numRef>
              <c:f>Bode_Plot!$CG$50:$CG$150</c:f>
              <c:numCache>
                <c:formatCode>General</c:formatCode>
                <c:ptCount val="101"/>
                <c:pt idx="0">
                  <c:v>100</c:v>
                </c:pt>
                <c:pt idx="1">
                  <c:v>109.647819614318</c:v>
                </c:pt>
                <c:pt idx="2">
                  <c:v>120.226443461741</c:v>
                </c:pt>
                <c:pt idx="3">
                  <c:v>131.82567385563999</c:v>
                </c:pt>
                <c:pt idx="4">
                  <c:v>144.54397707459199</c:v>
                </c:pt>
                <c:pt idx="5">
                  <c:v>158.48931924611099</c:v>
                </c:pt>
                <c:pt idx="6">
                  <c:v>173.78008287493699</c:v>
                </c:pt>
                <c:pt idx="7">
                  <c:v>190.54607179632399</c:v>
                </c:pt>
                <c:pt idx="8">
                  <c:v>208.92961308540299</c:v>
                </c:pt>
                <c:pt idx="9">
                  <c:v>229.08676527677699</c:v>
                </c:pt>
                <c:pt idx="10">
                  <c:v>251.188643150958</c:v>
                </c:pt>
                <c:pt idx="11">
                  <c:v>275.42287033381598</c:v>
                </c:pt>
                <c:pt idx="12">
                  <c:v>301.995172040201</c:v>
                </c:pt>
                <c:pt idx="13">
                  <c:v>331.13112148259103</c:v>
                </c:pt>
                <c:pt idx="14">
                  <c:v>363.07805477010101</c:v>
                </c:pt>
                <c:pt idx="15">
                  <c:v>398.10717055349699</c:v>
                </c:pt>
                <c:pt idx="16">
                  <c:v>436.51583224016503</c:v>
                </c:pt>
                <c:pt idx="17">
                  <c:v>478.63009232263801</c:v>
                </c:pt>
                <c:pt idx="18">
                  <c:v>524.80746024977202</c:v>
                </c:pt>
                <c:pt idx="19">
                  <c:v>575.43993733715604</c:v>
                </c:pt>
                <c:pt idx="20">
                  <c:v>630.957344480193</c:v>
                </c:pt>
                <c:pt idx="21">
                  <c:v>691.83097091893603</c:v>
                </c:pt>
                <c:pt idx="22">
                  <c:v>758.57757502918298</c:v>
                </c:pt>
                <c:pt idx="23">
                  <c:v>831.76377110267094</c:v>
                </c:pt>
                <c:pt idx="24">
                  <c:v>912.01083935590896</c:v>
                </c:pt>
                <c:pt idx="25">
                  <c:v>1000</c:v>
                </c:pt>
                <c:pt idx="26">
                  <c:v>1096.47819614318</c:v>
                </c:pt>
                <c:pt idx="27">
                  <c:v>1202.26443461741</c:v>
                </c:pt>
                <c:pt idx="28">
                  <c:v>1318.2567385564</c:v>
                </c:pt>
                <c:pt idx="29">
                  <c:v>1445.43977074592</c:v>
                </c:pt>
                <c:pt idx="30">
                  <c:v>1584.8931924611099</c:v>
                </c:pt>
                <c:pt idx="31">
                  <c:v>1737.8008287493701</c:v>
                </c:pt>
                <c:pt idx="32">
                  <c:v>1905.4607179632401</c:v>
                </c:pt>
                <c:pt idx="33">
                  <c:v>2089.2961308540298</c:v>
                </c:pt>
                <c:pt idx="34">
                  <c:v>2290.8676527677699</c:v>
                </c:pt>
                <c:pt idx="35">
                  <c:v>2511.8864315095698</c:v>
                </c:pt>
                <c:pt idx="36">
                  <c:v>2754.2287033381599</c:v>
                </c:pt>
                <c:pt idx="37">
                  <c:v>3019.9517204020099</c:v>
                </c:pt>
                <c:pt idx="38">
                  <c:v>3311.3112148259102</c:v>
                </c:pt>
                <c:pt idx="39">
                  <c:v>3630.7805477010102</c:v>
                </c:pt>
                <c:pt idx="40">
                  <c:v>3981.0717055349701</c:v>
                </c:pt>
                <c:pt idx="41">
                  <c:v>4365.1583224016504</c:v>
                </c:pt>
                <c:pt idx="42">
                  <c:v>4786.3009232263803</c:v>
                </c:pt>
                <c:pt idx="43">
                  <c:v>5248.0746024977198</c:v>
                </c:pt>
                <c:pt idx="44">
                  <c:v>5754.3993733715597</c:v>
                </c:pt>
                <c:pt idx="45">
                  <c:v>6309.5734448019302</c:v>
                </c:pt>
                <c:pt idx="46">
                  <c:v>6918.3097091893596</c:v>
                </c:pt>
                <c:pt idx="47">
                  <c:v>7585.7757502918303</c:v>
                </c:pt>
                <c:pt idx="48">
                  <c:v>8317.6377110267003</c:v>
                </c:pt>
                <c:pt idx="49">
                  <c:v>9120.1083935590905</c:v>
                </c:pt>
                <c:pt idx="50">
                  <c:v>10000</c:v>
                </c:pt>
                <c:pt idx="51">
                  <c:v>10964.7819614318</c:v>
                </c:pt>
                <c:pt idx="52">
                  <c:v>12022.6443461741</c:v>
                </c:pt>
                <c:pt idx="53">
                  <c:v>13182.567385564</c:v>
                </c:pt>
                <c:pt idx="54">
                  <c:v>14454.3977074592</c:v>
                </c:pt>
                <c:pt idx="55">
                  <c:v>15848.931924611101</c:v>
                </c:pt>
                <c:pt idx="56">
                  <c:v>17378.0082874937</c:v>
                </c:pt>
                <c:pt idx="57">
                  <c:v>19054.607179632399</c:v>
                </c:pt>
                <c:pt idx="58">
                  <c:v>20892.9613085403</c:v>
                </c:pt>
                <c:pt idx="59">
                  <c:v>22908.676527677701</c:v>
                </c:pt>
                <c:pt idx="60">
                  <c:v>25118.8643150957</c:v>
                </c:pt>
                <c:pt idx="61">
                  <c:v>27542.287033381599</c:v>
                </c:pt>
                <c:pt idx="62">
                  <c:v>30199.5172040201</c:v>
                </c:pt>
                <c:pt idx="63">
                  <c:v>33113.112148259097</c:v>
                </c:pt>
                <c:pt idx="64">
                  <c:v>36307.805477010101</c:v>
                </c:pt>
                <c:pt idx="65">
                  <c:v>39810.717055349698</c:v>
                </c:pt>
                <c:pt idx="66">
                  <c:v>43651.583224016598</c:v>
                </c:pt>
                <c:pt idx="67">
                  <c:v>47863.009232263801</c:v>
                </c:pt>
                <c:pt idx="68">
                  <c:v>52480.746024977198</c:v>
                </c:pt>
                <c:pt idx="69">
                  <c:v>57543.993733715601</c:v>
                </c:pt>
                <c:pt idx="70">
                  <c:v>63095.734448019197</c:v>
                </c:pt>
                <c:pt idx="71">
                  <c:v>69183.097091893593</c:v>
                </c:pt>
                <c:pt idx="72">
                  <c:v>75857.757502918306</c:v>
                </c:pt>
                <c:pt idx="73">
                  <c:v>83176.377110267</c:v>
                </c:pt>
                <c:pt idx="74">
                  <c:v>91201.083935590897</c:v>
                </c:pt>
                <c:pt idx="75">
                  <c:v>100000</c:v>
                </c:pt>
                <c:pt idx="76">
                  <c:v>109647.819614318</c:v>
                </c:pt>
                <c:pt idx="77">
                  <c:v>120226.443461741</c:v>
                </c:pt>
                <c:pt idx="78">
                  <c:v>131825.67385563999</c:v>
                </c:pt>
                <c:pt idx="79">
                  <c:v>144543.977074592</c:v>
                </c:pt>
                <c:pt idx="80">
                  <c:v>158489.319246111</c:v>
                </c:pt>
                <c:pt idx="81">
                  <c:v>173780.08287493701</c:v>
                </c:pt>
                <c:pt idx="82">
                  <c:v>190546.07179632399</c:v>
                </c:pt>
                <c:pt idx="83">
                  <c:v>208929.61308540299</c:v>
                </c:pt>
                <c:pt idx="84">
                  <c:v>229086.76527677701</c:v>
                </c:pt>
                <c:pt idx="85">
                  <c:v>251188.64315095701</c:v>
                </c:pt>
                <c:pt idx="86">
                  <c:v>275422.87033381598</c:v>
                </c:pt>
                <c:pt idx="87">
                  <c:v>301995.17204020103</c:v>
                </c:pt>
                <c:pt idx="88">
                  <c:v>331131.12148259103</c:v>
                </c:pt>
                <c:pt idx="89">
                  <c:v>363078.05477010098</c:v>
                </c:pt>
                <c:pt idx="90">
                  <c:v>398107.17055349698</c:v>
                </c:pt>
                <c:pt idx="91">
                  <c:v>436515.83224016603</c:v>
                </c:pt>
                <c:pt idx="92">
                  <c:v>478630.09232263803</c:v>
                </c:pt>
                <c:pt idx="93">
                  <c:v>524807.46024977195</c:v>
                </c:pt>
                <c:pt idx="94">
                  <c:v>575439.93733715604</c:v>
                </c:pt>
                <c:pt idx="95">
                  <c:v>630957.34448019206</c:v>
                </c:pt>
                <c:pt idx="96">
                  <c:v>691830.97091893596</c:v>
                </c:pt>
                <c:pt idx="97">
                  <c:v>758577.57502918295</c:v>
                </c:pt>
                <c:pt idx="98">
                  <c:v>831763.77110267</c:v>
                </c:pt>
                <c:pt idx="99">
                  <c:v>912010.83935590903</c:v>
                </c:pt>
                <c:pt idx="100">
                  <c:v>1000000</c:v>
                </c:pt>
              </c:numCache>
            </c:numRef>
          </c:xVal>
          <c:yVal>
            <c:numRef>
              <c:f>Bode_Plot!$CH$50:$CH$150</c:f>
              <c:numCache>
                <c:formatCode>General</c:formatCode>
                <c:ptCount val="101"/>
                <c:pt idx="0">
                  <c:v>10.442788841965999</c:v>
                </c:pt>
                <c:pt idx="1">
                  <c:v>10.442881313520401</c:v>
                </c:pt>
                <c:pt idx="2">
                  <c:v>10.4429924810789</c:v>
                </c:pt>
                <c:pt idx="3">
                  <c:v>10.4431261227692</c:v>
                </c:pt>
                <c:pt idx="4">
                  <c:v>10.443286779351601</c:v>
                </c:pt>
                <c:pt idx="5">
                  <c:v>10.443479907804001</c:v>
                </c:pt>
                <c:pt idx="6">
                  <c:v>10.4437120656919</c:v>
                </c:pt>
                <c:pt idx="7">
                  <c:v>10.443991132306101</c:v>
                </c:pt>
                <c:pt idx="8">
                  <c:v>10.4443265739643</c:v>
                </c:pt>
                <c:pt idx="9">
                  <c:v>10.444729762036101</c:v>
                </c:pt>
                <c:pt idx="10">
                  <c:v>10.445214353964399</c:v>
                </c:pt>
                <c:pt idx="11">
                  <c:v>10.4457967493927</c:v>
                </c:pt>
                <c:pt idx="12">
                  <c:v>10.446496635820001</c:v>
                </c:pt>
                <c:pt idx="13">
                  <c:v>10.447337640573901</c:v>
                </c:pt>
                <c:pt idx="14">
                  <c:v>10.448348108772599</c:v>
                </c:pt>
                <c:pt idx="15">
                  <c:v>10.4495620301798</c:v>
                </c:pt>
                <c:pt idx="16">
                  <c:v>10.451020141279001</c:v>
                </c:pt>
                <c:pt idx="17">
                  <c:v>10.452771232369001</c:v>
                </c:pt>
                <c:pt idx="18">
                  <c:v>10.4548736931636</c:v>
                </c:pt>
                <c:pt idx="19">
                  <c:v>10.4573973333307</c:v>
                </c:pt>
                <c:pt idx="20">
                  <c:v>10.4604255165426</c:v>
                </c:pt>
                <c:pt idx="21">
                  <c:v>10.464057646182701</c:v>
                </c:pt>
                <c:pt idx="22">
                  <c:v>10.468412037453099</c:v>
                </c:pt>
                <c:pt idx="23">
                  <c:v>10.473629199948199</c:v>
                </c:pt>
                <c:pt idx="24">
                  <c:v>10.4798755346461</c:v>
                </c:pt>
                <c:pt idx="25">
                  <c:v>10.487347412091999</c:v>
                </c:pt>
                <c:pt idx="26">
                  <c:v>10.496275535600301</c:v>
                </c:pt>
                <c:pt idx="27">
                  <c:v>10.5069293893132</c:v>
                </c:pt>
                <c:pt idx="28">
                  <c:v>10.519621402975501</c:v>
                </c:pt>
                <c:pt idx="29">
                  <c:v>10.5347101976392</c:v>
                </c:pt>
                <c:pt idx="30">
                  <c:v>10.5526018532001</c:v>
                </c:pt>
                <c:pt idx="31">
                  <c:v>10.5737474727579</c:v>
                </c:pt>
                <c:pt idx="32">
                  <c:v>10.5986342741384</c:v>
                </c:pt>
                <c:pt idx="33">
                  <c:v>10.627765803757301</c:v>
                </c:pt>
                <c:pt idx="34">
                  <c:v>10.6616243155551</c:v>
                </c:pt>
                <c:pt idx="35">
                  <c:v>10.700604391200899</c:v>
                </c:pt>
                <c:pt idx="36">
                  <c:v>10.744900772267901</c:v>
                </c:pt>
                <c:pt idx="37">
                  <c:v>10.7943241408554</c:v>
                </c:pt>
                <c:pt idx="38">
                  <c:v>10.848005088021701</c:v>
                </c:pt>
                <c:pt idx="39">
                  <c:v>10.903928051929</c:v>
                </c:pt>
                <c:pt idx="40">
                  <c:v>10.958215196321399</c:v>
                </c:pt>
                <c:pt idx="41">
                  <c:v>11.004063817698601</c:v>
                </c:pt>
                <c:pt idx="42">
                  <c:v>11.0302566656986</c:v>
                </c:pt>
                <c:pt idx="43">
                  <c:v>11.019275842366801</c:v>
                </c:pt>
                <c:pt idx="44">
                  <c:v>10.945372577198</c:v>
                </c:pt>
                <c:pt idx="45">
                  <c:v>10.7735955294542</c:v>
                </c:pt>
                <c:pt idx="46">
                  <c:v>10.461628987358001</c:v>
                </c:pt>
                <c:pt idx="47">
                  <c:v>9.9664575446466603</c:v>
                </c:pt>
                <c:pt idx="48">
                  <c:v>9.2557378165248103</c:v>
                </c:pt>
                <c:pt idx="49">
                  <c:v>8.3191984821052198</c:v>
                </c:pt>
                <c:pt idx="50">
                  <c:v>7.1727473874243604</c:v>
                </c:pt>
                <c:pt idx="51">
                  <c:v>5.8522036019359502</c:v>
                </c:pt>
                <c:pt idx="52">
                  <c:v>4.4012741415893002</c:v>
                </c:pt>
                <c:pt idx="53">
                  <c:v>2.8610079264247101</c:v>
                </c:pt>
                <c:pt idx="54">
                  <c:v>1.26432641894616</c:v>
                </c:pt>
                <c:pt idx="55">
                  <c:v>-0.36499137430540302</c:v>
                </c:pt>
                <c:pt idx="56">
                  <c:v>-2.0109899221646099</c:v>
                </c:pt>
                <c:pt idx="57">
                  <c:v>-3.6635575258793098</c:v>
                </c:pt>
                <c:pt idx="58">
                  <c:v>-5.3166133316322197</c:v>
                </c:pt>
                <c:pt idx="59">
                  <c:v>-6.9667156144570299</c:v>
                </c:pt>
                <c:pt idx="60">
                  <c:v>-8.6120834294952093</c:v>
                </c:pt>
                <c:pt idx="61">
                  <c:v>-10.2519418852645</c:v>
                </c:pt>
                <c:pt idx="62">
                  <c:v>-11.886096483931199</c:v>
                </c:pt>
                <c:pt idx="63">
                  <c:v>-13.514660907998501</c:v>
                </c:pt>
                <c:pt idx="64">
                  <c:v>-15.137883902610699</c:v>
                </c:pt>
                <c:pt idx="65">
                  <c:v>-16.756037962278</c:v>
                </c:pt>
                <c:pt idx="66">
                  <c:v>-18.3693445020014</c:v>
                </c:pt>
                <c:pt idx="67">
                  <c:v>-19.977917861405398</c:v>
                </c:pt>
                <c:pt idx="68">
                  <c:v>-21.5817148045893</c:v>
                </c:pt>
                <c:pt idx="69">
                  <c:v>-23.180477754210202</c:v>
                </c:pt>
                <c:pt idx="70">
                  <c:v>-24.773658944712</c:v>
                </c:pt>
                <c:pt idx="71">
                  <c:v>-26.3603084284806</c:v>
                </c:pt>
                <c:pt idx="72">
                  <c:v>-27.940216877953599</c:v>
                </c:pt>
                <c:pt idx="73">
                  <c:v>-29.508299591914199</c:v>
                </c:pt>
                <c:pt idx="74">
                  <c:v>-31.062229871629999</c:v>
                </c:pt>
                <c:pt idx="75">
                  <c:v>-32.596203851061802</c:v>
                </c:pt>
                <c:pt idx="76">
                  <c:v>-34.100390775984501</c:v>
                </c:pt>
                <c:pt idx="77">
                  <c:v>-35.561012254267901</c:v>
                </c:pt>
                <c:pt idx="78">
                  <c:v>-36.952006068138303</c:v>
                </c:pt>
                <c:pt idx="79">
                  <c:v>-38.229835286736197</c:v>
                </c:pt>
                <c:pt idx="80">
                  <c:v>-39.321382343681101</c:v>
                </c:pt>
                <c:pt idx="81">
                  <c:v>-40.115716987092298</c:v>
                </c:pt>
                <c:pt idx="82">
                  <c:v>-40.5415596054521</c:v>
                </c:pt>
                <c:pt idx="83">
                  <c:v>-41.066704847896197</c:v>
                </c:pt>
                <c:pt idx="84">
                  <c:v>-43.166009973460902</c:v>
                </c:pt>
                <c:pt idx="85">
                  <c:v>-46.651312661257698</c:v>
                </c:pt>
                <c:pt idx="86">
                  <c:v>-50.066544664440897</c:v>
                </c:pt>
                <c:pt idx="87">
                  <c:v>-53.216606470992403</c:v>
                </c:pt>
                <c:pt idx="88">
                  <c:v>-56.698662510392502</c:v>
                </c:pt>
                <c:pt idx="89">
                  <c:v>-62.8285364880063</c:v>
                </c:pt>
                <c:pt idx="90">
                  <c:v>-97.603011045677405</c:v>
                </c:pt>
                <c:pt idx="91">
                  <c:v>-67.153002118245794</c:v>
                </c:pt>
                <c:pt idx="92">
                  <c:v>-64.2833388762146</c:v>
                </c:pt>
                <c:pt idx="93">
                  <c:v>-63.6748199163085</c:v>
                </c:pt>
                <c:pt idx="94">
                  <c:v>-58.274921049950002</c:v>
                </c:pt>
                <c:pt idx="95">
                  <c:v>-61.637548890875102</c:v>
                </c:pt>
                <c:pt idx="96">
                  <c:v>-69.5723207531166</c:v>
                </c:pt>
                <c:pt idx="97">
                  <c:v>-75.884403604408405</c:v>
                </c:pt>
                <c:pt idx="98">
                  <c:v>-78.309021755241702</c:v>
                </c:pt>
                <c:pt idx="99">
                  <c:v>-69.888446083752896</c:v>
                </c:pt>
                <c:pt idx="100">
                  <c:v>-51.550396902659102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293-4044-8A51-721F62B008BC}"/>
            </c:ext>
          </c:extLst>
        </c:ser>
        <c:ser>
          <c:idx val="6"/>
          <c:order val="6"/>
          <c:tx>
            <c:v>1V2, 30A, 500k, 1ph</c:v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xVal>
            <c:numRef>
              <c:f>Bode_Plot!$CQ$50:$CQ$177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Bode_Plot!$CR$50:$CR$177</c:f>
              <c:numCache>
                <c:formatCode>General</c:formatCode>
                <c:ptCount val="128"/>
                <c:pt idx="0">
                  <c:v>7.1193941092357704</c:v>
                </c:pt>
                <c:pt idx="1">
                  <c:v>7.1191833569627425</c:v>
                </c:pt>
                <c:pt idx="2">
                  <c:v>7.1185291034526745</c:v>
                </c:pt>
                <c:pt idx="3">
                  <c:v>7.1183523967454301</c:v>
                </c:pt>
                <c:pt idx="4">
                  <c:v>7.1181399577488875</c:v>
                </c:pt>
                <c:pt idx="5">
                  <c:v>7.1178845631853971</c:v>
                </c:pt>
                <c:pt idx="6">
                  <c:v>7.1175775305876865</c:v>
                </c:pt>
                <c:pt idx="7">
                  <c:v>7.1172084239676554</c:v>
                </c:pt>
                <c:pt idx="8">
                  <c:v>7.1167647003135714</c:v>
                </c:pt>
                <c:pt idx="9">
                  <c:v>7.1162312851070384</c:v>
                </c:pt>
                <c:pt idx="10">
                  <c:v>7.1155900627348858</c:v>
                </c:pt>
                <c:pt idx="11">
                  <c:v>7.1148192649161395</c:v>
                </c:pt>
                <c:pt idx="12">
                  <c:v>7.1138927369979434</c:v>
                </c:pt>
                <c:pt idx="13">
                  <c:v>7.112779058113726</c:v>
                </c:pt>
                <c:pt idx="14">
                  <c:v>7.1114404866466208</c:v>
                </c:pt>
                <c:pt idx="15">
                  <c:v>7.1098316971091755</c:v>
                </c:pt>
                <c:pt idx="16">
                  <c:v>7.107898268329552</c:v>
                </c:pt>
                <c:pt idx="17">
                  <c:v>7.1055748756376849</c:v>
                </c:pt>
                <c:pt idx="18">
                  <c:v>7.1027831314840517</c:v>
                </c:pt>
                <c:pt idx="19">
                  <c:v>7.0994290095648891</c:v>
                </c:pt>
                <c:pt idx="20">
                  <c:v>7.0953997770796651</c:v>
                </c:pt>
                <c:pt idx="21">
                  <c:v>7.0905603483318691</c:v>
                </c:pt>
                <c:pt idx="22">
                  <c:v>7.0847489607856229</c:v>
                </c:pt>
                <c:pt idx="23">
                  <c:v>7.0777720624226408</c:v>
                </c:pt>
                <c:pt idx="24">
                  <c:v>7.0693982876936179</c:v>
                </c:pt>
                <c:pt idx="25">
                  <c:v>7.0593513899106322</c:v>
                </c:pt>
                <c:pt idx="26">
                  <c:v>7.0473019926884355</c:v>
                </c:pt>
                <c:pt idx="27">
                  <c:v>7.03285802509156</c:v>
                </c:pt>
                <c:pt idx="28">
                  <c:v>7.0155537188185813</c:v>
                </c:pt>
                <c:pt idx="29">
                  <c:v>6.9948370770346724</c:v>
                </c:pt>
                <c:pt idx="30">
                  <c:v>6.9700557812151072</c:v>
                </c:pt>
                <c:pt idx="31">
                  <c:v>6.9404415946077478</c:v>
                </c:pt>
                <c:pt idx="32">
                  <c:v>6.9050934606604955</c:v>
                </c:pt>
                <c:pt idx="33">
                  <c:v>6.8629596952972252</c:v>
                </c:pt>
                <c:pt idx="34">
                  <c:v>6.8128199461063197</c:v>
                </c:pt>
                <c:pt idx="35">
                  <c:v>6.75326794837832</c:v>
                </c:pt>
                <c:pt idx="36">
                  <c:v>6.6826965472015418</c:v>
                </c:pt>
                <c:pt idx="37">
                  <c:v>6.5992869586614686</c:v>
                </c:pt>
                <c:pt idx="38">
                  <c:v>6.5010047656597809</c:v>
                </c:pt>
                <c:pt idx="39">
                  <c:v>6.3856055995737453</c:v>
                </c:pt>
                <c:pt idx="40">
                  <c:v>6.250653714976683</c:v>
                </c:pt>
                <c:pt idx="41">
                  <c:v>6.0935565425182912</c:v>
                </c:pt>
                <c:pt idx="42">
                  <c:v>5.9116176027908303</c:v>
                </c:pt>
                <c:pt idx="43">
                  <c:v>5.7021087062061468</c:v>
                </c:pt>
                <c:pt idx="44">
                  <c:v>5.4623600824647198</c:v>
                </c:pt>
                <c:pt idx="45">
                  <c:v>5.1898641133028107</c:v>
                </c:pt>
                <c:pt idx="46">
                  <c:v>4.8823850966251792</c:v>
                </c:pt>
                <c:pt idx="47">
                  <c:v>4.5380646366459256</c:v>
                </c:pt>
                <c:pt idx="48">
                  <c:v>4.1555106685434877</c:v>
                </c:pt>
                <c:pt idx="49">
                  <c:v>3.7338585159782438</c:v>
                </c:pt>
                <c:pt idx="50">
                  <c:v>3.2727950623873263</c:v>
                </c:pt>
                <c:pt idx="51">
                  <c:v>2.7725417816609803</c:v>
                </c:pt>
                <c:pt idx="52">
                  <c:v>2.2337980926953733</c:v>
                </c:pt>
                <c:pt idx="53">
                  <c:v>1.6576520033570845</c:v>
                </c:pt>
                <c:pt idx="54">
                  <c:v>1.0454691061914294</c:v>
                </c:pt>
                <c:pt idx="55">
                  <c:v>0.39877296614484015</c:v>
                </c:pt>
                <c:pt idx="56">
                  <c:v>-0.28087027563040162</c:v>
                </c:pt>
                <c:pt idx="57">
                  <c:v>-0.9919522035445405</c:v>
                </c:pt>
                <c:pt idx="58">
                  <c:v>-1.7330994053781825</c:v>
                </c:pt>
                <c:pt idx="59">
                  <c:v>-2.5031230639069921</c:v>
                </c:pt>
                <c:pt idx="60">
                  <c:v>-3.3010393461837548</c:v>
                </c:pt>
                <c:pt idx="61">
                  <c:v>-4.1260619545585007</c:v>
                </c:pt>
                <c:pt idx="62">
                  <c:v>-4.9775708832576893</c:v>
                </c:pt>
                <c:pt idx="63">
                  <c:v>-5.8550640112055552</c:v>
                </c:pt>
                <c:pt idx="64">
                  <c:v>-6.7581006196733773</c:v>
                </c:pt>
                <c:pt idx="65">
                  <c:v>-7.686247934435972</c:v>
                </c:pt>
                <c:pt idx="66">
                  <c:v>-8.6390427336554954</c:v>
                </c:pt>
                <c:pt idx="67">
                  <c:v>-9.6159791527085101</c:v>
                </c:pt>
                <c:pt idx="68">
                  <c:v>-10.61653043233089</c:v>
                </c:pt>
                <c:pt idx="69">
                  <c:v>-11.640206435687958</c:v>
                </c:pt>
                <c:pt idx="70">
                  <c:v>-12.686641110969511</c:v>
                </c:pt>
                <c:pt idx="71">
                  <c:v>-13.755696376830095</c:v>
                </c:pt>
                <c:pt idx="72">
                  <c:v>-14.847563296384003</c:v>
                </c:pt>
                <c:pt idx="73">
                  <c:v>-15.962839760273354</c:v>
                </c:pt>
                <c:pt idx="74">
                  <c:v>-17.102567112785856</c:v>
                </c:pt>
                <c:pt idx="75">
                  <c:v>-18.26821574093044</c:v>
                </c:pt>
                <c:pt idx="76">
                  <c:v>-19.461619867619078</c:v>
                </c:pt>
                <c:pt idx="77">
                  <c:v>-20.684872225412022</c:v>
                </c:pt>
                <c:pt idx="78">
                  <c:v>-21.940197566578593</c:v>
                </c:pt>
                <c:pt idx="79">
                  <c:v>-23.229828388608134</c:v>
                </c:pt>
                <c:pt idx="80">
                  <c:v>-24.555906136776716</c:v>
                </c:pt>
                <c:pt idx="81">
                  <c:v>-25.920426868394113</c:v>
                </c:pt>
                <c:pt idx="82">
                  <c:v>-27.325243179439074</c:v>
                </c:pt>
                <c:pt idx="83">
                  <c:v>-28.772125836267296</c:v>
                </c:pt>
                <c:pt idx="84">
                  <c:v>-30.262880712674381</c:v>
                </c:pt>
                <c:pt idx="85">
                  <c:v>-31.799510393412525</c:v>
                </c:pt>
                <c:pt idx="86">
                  <c:v>-33.384405156111072</c:v>
                </c:pt>
                <c:pt idx="87">
                  <c:v>-35.020543416859859</c:v>
                </c:pt>
                <c:pt idx="88">
                  <c:v>-36.711673315388673</c:v>
                </c:pt>
                <c:pt idx="89">
                  <c:v>-38.462427256013818</c:v>
                </c:pt>
                <c:pt idx="90">
                  <c:v>-40.278274329896803</c:v>
                </c:pt>
                <c:pt idx="91">
                  <c:v>-42.165108713661859</c:v>
                </c:pt>
                <c:pt idx="92">
                  <c:v>-44.128035208986603</c:v>
                </c:pt>
                <c:pt idx="93">
                  <c:v>-46.168404524773969</c:v>
                </c:pt>
                <c:pt idx="94">
                  <c:v>-48.277142894317286</c:v>
                </c:pt>
                <c:pt idx="95">
                  <c:v>-50.420870248622919</c:v>
                </c:pt>
                <c:pt idx="96">
                  <c:v>-52.517124021019981</c:v>
                </c:pt>
                <c:pt idx="97">
                  <c:v>-54.405877683147843</c:v>
                </c:pt>
                <c:pt idx="98">
                  <c:v>-55.863545332720349</c:v>
                </c:pt>
                <c:pt idx="99">
                  <c:v>-56.726161168369842</c:v>
                </c:pt>
                <c:pt idx="100">
                  <c:v>-57.039833478068054</c:v>
                </c:pt>
                <c:pt idx="101">
                  <c:v>-57.014701603244127</c:v>
                </c:pt>
                <c:pt idx="102">
                  <c:v>-56.860004660926045</c:v>
                </c:pt>
                <c:pt idx="103">
                  <c:v>-56.705630639309099</c:v>
                </c:pt>
                <c:pt idx="104">
                  <c:v>-56.613169039271433</c:v>
                </c:pt>
                <c:pt idx="105">
                  <c:v>-56.60546605086062</c:v>
                </c:pt>
                <c:pt idx="106">
                  <c:v>-56.686928813387134</c:v>
                </c:pt>
                <c:pt idx="107">
                  <c:v>-56.854052276761358</c:v>
                </c:pt>
                <c:pt idx="108">
                  <c:v>-57.100305178107796</c:v>
                </c:pt>
                <c:pt idx="109">
                  <c:v>-57.418269512325175</c:v>
                </c:pt>
                <c:pt idx="110">
                  <c:v>-57.800533133734817</c:v>
                </c:pt>
                <c:pt idx="111">
                  <c:v>-58.240040619672797</c:v>
                </c:pt>
                <c:pt idx="112">
                  <c:v>-58.73021957674095</c:v>
                </c:pt>
                <c:pt idx="113">
                  <c:v>-59.265019486377007</c:v>
                </c:pt>
                <c:pt idx="114">
                  <c:v>-59.838918694645152</c:v>
                </c:pt>
                <c:pt idx="115">
                  <c:v>-60.446919589903118</c:v>
                </c:pt>
                <c:pt idx="116">
                  <c:v>-61.08453767396022</c:v>
                </c:pt>
                <c:pt idx="117">
                  <c:v>-61.747785424315055</c:v>
                </c:pt>
                <c:pt idx="118">
                  <c:v>-62.433150978719418</c:v>
                </c:pt>
                <c:pt idx="119">
                  <c:v>-63.137572124745191</c:v>
                </c:pt>
                <c:pt idx="120">
                  <c:v>-63.858406703976279</c:v>
                </c:pt>
                <c:pt idx="121">
                  <c:v>-64.593400936713877</c:v>
                </c:pt>
                <c:pt idx="122">
                  <c:v>-65.340657274370642</c:v>
                </c:pt>
                <c:pt idx="123">
                  <c:v>-66.098603261906263</c:v>
                </c:pt>
                <c:pt idx="124">
                  <c:v>-66.865962639856804</c:v>
                </c:pt>
                <c:pt idx="125">
                  <c:v>-67.641729617400188</c:v>
                </c:pt>
                <c:pt idx="126">
                  <c:v>-68.425146958709888</c:v>
                </c:pt>
                <c:pt idx="127">
                  <c:v>-69.215688271726805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293-4044-8A51-721F62B008BC}"/>
            </c:ext>
          </c:extLst>
        </c:ser>
        <c:ser>
          <c:idx val="7"/>
          <c:order val="7"/>
          <c:tx>
            <c:v>...</c:v>
          </c:tx>
          <c:spPr>
            <a:ln>
              <a:solidFill>
                <a:srgbClr val="00B050"/>
              </a:solidFill>
              <a:prstDash val="sysDash"/>
            </a:ln>
          </c:spPr>
          <c:marker>
            <c:symbol val="none"/>
          </c:marker>
          <c:xVal>
            <c:numRef>
              <c:f>Bode_Plot!$CN$50:$CN$150</c:f>
              <c:numCache>
                <c:formatCode>General</c:formatCode>
                <c:ptCount val="101"/>
                <c:pt idx="0">
                  <c:v>100</c:v>
                </c:pt>
                <c:pt idx="1">
                  <c:v>109.647819614318</c:v>
                </c:pt>
                <c:pt idx="2">
                  <c:v>120.226443461741</c:v>
                </c:pt>
                <c:pt idx="3">
                  <c:v>131.82567385563999</c:v>
                </c:pt>
                <c:pt idx="4">
                  <c:v>144.54397707459199</c:v>
                </c:pt>
                <c:pt idx="5">
                  <c:v>158.48931924611099</c:v>
                </c:pt>
                <c:pt idx="6">
                  <c:v>173.78008287493699</c:v>
                </c:pt>
                <c:pt idx="7">
                  <c:v>190.54607179632399</c:v>
                </c:pt>
                <c:pt idx="8">
                  <c:v>208.92961308540299</c:v>
                </c:pt>
                <c:pt idx="9">
                  <c:v>229.08676527677699</c:v>
                </c:pt>
                <c:pt idx="10">
                  <c:v>251.188643150958</c:v>
                </c:pt>
                <c:pt idx="11">
                  <c:v>275.42287033381598</c:v>
                </c:pt>
                <c:pt idx="12">
                  <c:v>301.995172040201</c:v>
                </c:pt>
                <c:pt idx="13">
                  <c:v>331.13112148259103</c:v>
                </c:pt>
                <c:pt idx="14">
                  <c:v>363.07805477010101</c:v>
                </c:pt>
                <c:pt idx="15">
                  <c:v>398.10717055349699</c:v>
                </c:pt>
                <c:pt idx="16">
                  <c:v>436.51583224016503</c:v>
                </c:pt>
                <c:pt idx="17">
                  <c:v>478.63009232263801</c:v>
                </c:pt>
                <c:pt idx="18">
                  <c:v>524.80746024977202</c:v>
                </c:pt>
                <c:pt idx="19">
                  <c:v>575.43993733715604</c:v>
                </c:pt>
                <c:pt idx="20">
                  <c:v>630.957344480193</c:v>
                </c:pt>
                <c:pt idx="21">
                  <c:v>691.83097091893603</c:v>
                </c:pt>
                <c:pt idx="22">
                  <c:v>758.57757502918298</c:v>
                </c:pt>
                <c:pt idx="23">
                  <c:v>831.76377110267094</c:v>
                </c:pt>
                <c:pt idx="24">
                  <c:v>912.01083935590896</c:v>
                </c:pt>
                <c:pt idx="25">
                  <c:v>1000</c:v>
                </c:pt>
                <c:pt idx="26">
                  <c:v>1096.47819614318</c:v>
                </c:pt>
                <c:pt idx="27">
                  <c:v>1202.26443461741</c:v>
                </c:pt>
                <c:pt idx="28">
                  <c:v>1318.2567385564</c:v>
                </c:pt>
                <c:pt idx="29">
                  <c:v>1445.43977074592</c:v>
                </c:pt>
                <c:pt idx="30">
                  <c:v>1584.8931924611099</c:v>
                </c:pt>
                <c:pt idx="31">
                  <c:v>1737.8008287493701</c:v>
                </c:pt>
                <c:pt idx="32">
                  <c:v>1905.4607179632401</c:v>
                </c:pt>
                <c:pt idx="33">
                  <c:v>2089.2961308540298</c:v>
                </c:pt>
                <c:pt idx="34">
                  <c:v>2290.8676527677699</c:v>
                </c:pt>
                <c:pt idx="35">
                  <c:v>2511.8864315095698</c:v>
                </c:pt>
                <c:pt idx="36">
                  <c:v>2754.2287033381599</c:v>
                </c:pt>
                <c:pt idx="37">
                  <c:v>3019.9517204020099</c:v>
                </c:pt>
                <c:pt idx="38">
                  <c:v>3311.3112148259102</c:v>
                </c:pt>
                <c:pt idx="39">
                  <c:v>3630.7805477010102</c:v>
                </c:pt>
                <c:pt idx="40">
                  <c:v>3981.0717055349701</c:v>
                </c:pt>
                <c:pt idx="41">
                  <c:v>4365.1583224016504</c:v>
                </c:pt>
                <c:pt idx="42">
                  <c:v>4786.3009232263803</c:v>
                </c:pt>
                <c:pt idx="43">
                  <c:v>5248.0746024977198</c:v>
                </c:pt>
                <c:pt idx="44">
                  <c:v>5754.3993733715597</c:v>
                </c:pt>
                <c:pt idx="45">
                  <c:v>6309.5734448019302</c:v>
                </c:pt>
                <c:pt idx="46">
                  <c:v>6918.3097091893596</c:v>
                </c:pt>
                <c:pt idx="47">
                  <c:v>7585.7757502918303</c:v>
                </c:pt>
                <c:pt idx="48">
                  <c:v>8317.6377110267003</c:v>
                </c:pt>
                <c:pt idx="49">
                  <c:v>9120.1083935590905</c:v>
                </c:pt>
                <c:pt idx="50">
                  <c:v>10000</c:v>
                </c:pt>
                <c:pt idx="51">
                  <c:v>10964.7819614318</c:v>
                </c:pt>
                <c:pt idx="52">
                  <c:v>12022.6443461741</c:v>
                </c:pt>
                <c:pt idx="53">
                  <c:v>13182.567385564</c:v>
                </c:pt>
                <c:pt idx="54">
                  <c:v>14454.3977074592</c:v>
                </c:pt>
                <c:pt idx="55">
                  <c:v>15848.931924611101</c:v>
                </c:pt>
                <c:pt idx="56">
                  <c:v>17378.0082874937</c:v>
                </c:pt>
                <c:pt idx="57">
                  <c:v>19054.607179632399</c:v>
                </c:pt>
                <c:pt idx="58">
                  <c:v>20892.9613085403</c:v>
                </c:pt>
                <c:pt idx="59">
                  <c:v>22908.676527677701</c:v>
                </c:pt>
                <c:pt idx="60">
                  <c:v>25118.8643150957</c:v>
                </c:pt>
                <c:pt idx="61">
                  <c:v>27542.287033381599</c:v>
                </c:pt>
                <c:pt idx="62">
                  <c:v>30199.5172040201</c:v>
                </c:pt>
                <c:pt idx="63">
                  <c:v>33113.112148259097</c:v>
                </c:pt>
                <c:pt idx="64">
                  <c:v>36307.805477010101</c:v>
                </c:pt>
                <c:pt idx="65">
                  <c:v>39810.717055349698</c:v>
                </c:pt>
                <c:pt idx="66">
                  <c:v>43651.583224016598</c:v>
                </c:pt>
                <c:pt idx="67">
                  <c:v>47863.009232263801</c:v>
                </c:pt>
                <c:pt idx="68">
                  <c:v>52480.746024977198</c:v>
                </c:pt>
                <c:pt idx="69">
                  <c:v>57543.993733715601</c:v>
                </c:pt>
                <c:pt idx="70">
                  <c:v>63095.734448019197</c:v>
                </c:pt>
                <c:pt idx="71">
                  <c:v>69183.097091893593</c:v>
                </c:pt>
                <c:pt idx="72">
                  <c:v>75857.757502918306</c:v>
                </c:pt>
                <c:pt idx="73">
                  <c:v>83176.377110267</c:v>
                </c:pt>
                <c:pt idx="74">
                  <c:v>91201.083935590897</c:v>
                </c:pt>
                <c:pt idx="75">
                  <c:v>100000</c:v>
                </c:pt>
                <c:pt idx="76">
                  <c:v>109647.819614318</c:v>
                </c:pt>
                <c:pt idx="77">
                  <c:v>120226.443461741</c:v>
                </c:pt>
                <c:pt idx="78">
                  <c:v>131825.67385563999</c:v>
                </c:pt>
                <c:pt idx="79">
                  <c:v>144543.977074592</c:v>
                </c:pt>
                <c:pt idx="80">
                  <c:v>158489.319246111</c:v>
                </c:pt>
                <c:pt idx="81">
                  <c:v>173780.08287493701</c:v>
                </c:pt>
                <c:pt idx="82">
                  <c:v>190546.07179632399</c:v>
                </c:pt>
                <c:pt idx="83">
                  <c:v>208929.61308540299</c:v>
                </c:pt>
                <c:pt idx="84">
                  <c:v>229086.76527677701</c:v>
                </c:pt>
                <c:pt idx="85">
                  <c:v>251188.64315095701</c:v>
                </c:pt>
                <c:pt idx="86">
                  <c:v>275422.87033381598</c:v>
                </c:pt>
                <c:pt idx="87">
                  <c:v>301995.17204020103</c:v>
                </c:pt>
                <c:pt idx="88">
                  <c:v>331131.12148259103</c:v>
                </c:pt>
                <c:pt idx="89">
                  <c:v>363078.05477010098</c:v>
                </c:pt>
                <c:pt idx="90">
                  <c:v>398107.17055349698</c:v>
                </c:pt>
                <c:pt idx="91">
                  <c:v>436515.83224016603</c:v>
                </c:pt>
                <c:pt idx="92">
                  <c:v>478630.09232263803</c:v>
                </c:pt>
                <c:pt idx="93">
                  <c:v>524807.46024977195</c:v>
                </c:pt>
                <c:pt idx="94">
                  <c:v>575439.93733715604</c:v>
                </c:pt>
                <c:pt idx="95">
                  <c:v>630957.34448019206</c:v>
                </c:pt>
                <c:pt idx="96">
                  <c:v>691830.97091893596</c:v>
                </c:pt>
                <c:pt idx="97">
                  <c:v>758577.57502918295</c:v>
                </c:pt>
                <c:pt idx="98">
                  <c:v>831763.77110267</c:v>
                </c:pt>
                <c:pt idx="99">
                  <c:v>912010.83935590903</c:v>
                </c:pt>
                <c:pt idx="100">
                  <c:v>1000000</c:v>
                </c:pt>
              </c:numCache>
            </c:numRef>
          </c:xVal>
          <c:yVal>
            <c:numRef>
              <c:f>Bode_Plot!$CO$50:$CO$150</c:f>
              <c:numCache>
                <c:formatCode>General</c:formatCode>
                <c:ptCount val="101"/>
                <c:pt idx="0">
                  <c:v>7.3003496393402401</c:v>
                </c:pt>
                <c:pt idx="1">
                  <c:v>7.3001639921786801</c:v>
                </c:pt>
                <c:pt idx="2">
                  <c:v>7.2999408054530504</c:v>
                </c:pt>
                <c:pt idx="3">
                  <c:v>7.29967249079706</c:v>
                </c:pt>
                <c:pt idx="4">
                  <c:v>7.2993499270307103</c:v>
                </c:pt>
                <c:pt idx="5">
                  <c:v>7.2989621510190297</c:v>
                </c:pt>
                <c:pt idx="6">
                  <c:v>7.2984959864133199</c:v>
                </c:pt>
                <c:pt idx="7">
                  <c:v>7.2979355978895697</c:v>
                </c:pt>
                <c:pt idx="8">
                  <c:v>7.29726195605729</c:v>
                </c:pt>
                <c:pt idx="9">
                  <c:v>7.2964521953289303</c:v>
                </c:pt>
                <c:pt idx="10">
                  <c:v>7.2954788437161104</c:v>
                </c:pt>
                <c:pt idx="11">
                  <c:v>7.2943088992888798</c:v>
                </c:pt>
                <c:pt idx="12">
                  <c:v>7.2929027235441604</c:v>
                </c:pt>
                <c:pt idx="13">
                  <c:v>7.2912127161140203</c:v>
                </c:pt>
                <c:pt idx="14">
                  <c:v>7.28918172904672</c:v>
                </c:pt>
                <c:pt idx="15">
                  <c:v>7.28674117122506</c:v>
                </c:pt>
                <c:pt idx="16">
                  <c:v>7.2838087450349498</c:v>
                </c:pt>
                <c:pt idx="17">
                  <c:v>7.28028574784559</c:v>
                </c:pt>
                <c:pt idx="18">
                  <c:v>7.2760538600471003</c:v>
                </c:pt>
                <c:pt idx="19">
                  <c:v>7.2709713300198597</c:v>
                </c:pt>
                <c:pt idx="20">
                  <c:v>7.2648684540734001</c:v>
                </c:pt>
                <c:pt idx="21">
                  <c:v>7.2575422376133698</c:v>
                </c:pt>
                <c:pt idx="22">
                  <c:v>7.2487501126593603</c:v>
                </c:pt>
                <c:pt idx="23">
                  <c:v>7.2382025786684601</c:v>
                </c:pt>
                <c:pt idx="24">
                  <c:v>7.2255546303998397</c:v>
                </c:pt>
                <c:pt idx="25">
                  <c:v>7.21039584171917</c:v>
                </c:pt>
                <c:pt idx="26">
                  <c:v>7.1922389928318502</c:v>
                </c:pt>
                <c:pt idx="27">
                  <c:v>7.1705071666727598</c:v>
                </c:pt>
                <c:pt idx="28">
                  <c:v>7.1445193066795198</c:v>
                </c:pt>
                <c:pt idx="29">
                  <c:v>7.1134743337762201</c:v>
                </c:pt>
                <c:pt idx="30">
                  <c:v>7.0764340771539596</c:v>
                </c:pt>
                <c:pt idx="31">
                  <c:v>7.0323054953242297</c:v>
                </c:pt>
                <c:pt idx="32">
                  <c:v>6.9798229626330297</c:v>
                </c:pt>
                <c:pt idx="33">
                  <c:v>6.9175317791694901</c:v>
                </c:pt>
                <c:pt idx="34">
                  <c:v>6.8437745244481896</c:v>
                </c:pt>
                <c:pt idx="35">
                  <c:v>6.7566823918693704</c:v>
                </c:pt>
                <c:pt idx="36">
                  <c:v>6.6541741560713099</c:v>
                </c:pt>
                <c:pt idx="37">
                  <c:v>6.5339658391970197</c:v>
                </c:pt>
                <c:pt idx="38">
                  <c:v>6.3935943080369997</c:v>
                </c:pt>
                <c:pt idx="39">
                  <c:v>6.2304577624872399</c:v>
                </c:pt>
                <c:pt idx="40">
                  <c:v>6.0418751663772001</c:v>
                </c:pt>
                <c:pt idx="41">
                  <c:v>5.8251649702197899</c:v>
                </c:pt>
                <c:pt idx="42">
                  <c:v>5.5777409637791502</c:v>
                </c:pt>
                <c:pt idx="43">
                  <c:v>5.2972199855486499</c:v>
                </c:pt>
                <c:pt idx="44">
                  <c:v>4.9815330043252803</c:v>
                </c:pt>
                <c:pt idx="45">
                  <c:v>4.6290285251182297</c:v>
                </c:pt>
                <c:pt idx="46">
                  <c:v>4.2385561905401703</c:v>
                </c:pt>
                <c:pt idx="47">
                  <c:v>3.8095194860446302</c:v>
                </c:pt>
                <c:pt idx="48">
                  <c:v>3.3418897566094001</c:v>
                </c:pt>
                <c:pt idx="49">
                  <c:v>2.8361787964453802</c:v>
                </c:pt>
                <c:pt idx="50">
                  <c:v>2.29337301257417</c:v>
                </c:pt>
                <c:pt idx="51">
                  <c:v>1.71483729569745</c:v>
                </c:pt>
                <c:pt idx="52">
                  <c:v>1.1022001819659699</c:v>
                </c:pt>
                <c:pt idx="53">
                  <c:v>0.45723313668520099</c:v>
                </c:pt>
                <c:pt idx="54">
                  <c:v>-0.21826404108018099</c:v>
                </c:pt>
                <c:pt idx="55">
                  <c:v>-0.92256200218727902</c:v>
                </c:pt>
                <c:pt idx="56">
                  <c:v>-1.65407813123208</c:v>
                </c:pt>
                <c:pt idx="57">
                  <c:v>-2.41142666759663</c:v>
                </c:pt>
                <c:pt idx="58">
                  <c:v>-3.1934416575344802</c:v>
                </c:pt>
                <c:pt idx="59">
                  <c:v>-3.9991739349414299</c:v>
                </c:pt>
                <c:pt idx="60">
                  <c:v>-4.8278652146778596</c:v>
                </c:pt>
                <c:pt idx="61">
                  <c:v>-5.6789041540931597</c:v>
                </c:pt>
                <c:pt idx="62">
                  <c:v>-6.5517709999136899</c:v>
                </c:pt>
                <c:pt idx="63">
                  <c:v>-7.4459790546525504</c:v>
                </c:pt>
                <c:pt idx="64">
                  <c:v>-8.3610222339412896</c:v>
                </c:pt>
                <c:pt idx="65">
                  <c:v>-9.2963377737262203</c:v>
                </c:pt>
                <c:pt idx="66">
                  <c:v>-10.251291006493499</c:v>
                </c:pt>
                <c:pt idx="67">
                  <c:v>-11.225184728479</c:v>
                </c:pt>
                <c:pt idx="68">
                  <c:v>-12.217289397629401</c:v>
                </c:pt>
                <c:pt idx="69">
                  <c:v>-13.226883470094901</c:v>
                </c:pt>
                <c:pt idx="70">
                  <c:v>-14.2532875056355</c:v>
                </c:pt>
                <c:pt idx="71">
                  <c:v>-15.2958732882283</c:v>
                </c:pt>
                <c:pt idx="72">
                  <c:v>-16.3540316569248</c:v>
                </c:pt>
                <c:pt idx="73">
                  <c:v>-17.427090723314201</c:v>
                </c:pt>
                <c:pt idx="74">
                  <c:v>-18.5147579005525</c:v>
                </c:pt>
                <c:pt idx="75">
                  <c:v>-19.614716112595801</c:v>
                </c:pt>
                <c:pt idx="76">
                  <c:v>-20.725889939164301</c:v>
                </c:pt>
                <c:pt idx="77">
                  <c:v>-21.846241596746399</c:v>
                </c:pt>
                <c:pt idx="78">
                  <c:v>-22.9737059502135</c:v>
                </c:pt>
                <c:pt idx="79">
                  <c:v>-24.106179810105001</c:v>
                </c:pt>
                <c:pt idx="80">
                  <c:v>-25.247803279417599</c:v>
                </c:pt>
                <c:pt idx="81">
                  <c:v>-26.4086222854868</c:v>
                </c:pt>
                <c:pt idx="82">
                  <c:v>-27.618267067576099</c:v>
                </c:pt>
                <c:pt idx="83">
                  <c:v>-28.927553159534</c:v>
                </c:pt>
                <c:pt idx="84">
                  <c:v>-30.429445122382599</c:v>
                </c:pt>
                <c:pt idx="85">
                  <c:v>-32.230890467415499</c:v>
                </c:pt>
                <c:pt idx="86">
                  <c:v>-34.412017567413002</c:v>
                </c:pt>
                <c:pt idx="87">
                  <c:v>-36.985383550975698</c:v>
                </c:pt>
                <c:pt idx="88">
                  <c:v>-39.902059145152798</c:v>
                </c:pt>
                <c:pt idx="89">
                  <c:v>-43.147778364589897</c:v>
                </c:pt>
                <c:pt idx="90">
                  <c:v>-46.857449310729201</c:v>
                </c:pt>
                <c:pt idx="91">
                  <c:v>-52.018722249275697</c:v>
                </c:pt>
                <c:pt idx="92">
                  <c:v>-71.916529292556106</c:v>
                </c:pt>
                <c:pt idx="93">
                  <c:v>-70.385253991438603</c:v>
                </c:pt>
                <c:pt idx="94">
                  <c:v>-56.846485597285003</c:v>
                </c:pt>
                <c:pt idx="95">
                  <c:v>-54.340300484233303</c:v>
                </c:pt>
                <c:pt idx="96">
                  <c:v>-50.348035899514301</c:v>
                </c:pt>
                <c:pt idx="97">
                  <c:v>-45.361618178947097</c:v>
                </c:pt>
                <c:pt idx="98">
                  <c:v>-53.722867493939397</c:v>
                </c:pt>
                <c:pt idx="99">
                  <c:v>-59.5218839454487</c:v>
                </c:pt>
                <c:pt idx="100">
                  <c:v>-168.51210738536301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293-4044-8A51-721F62B008BC}"/>
            </c:ext>
          </c:extLst>
        </c:ser>
        <c:ser>
          <c:idx val="8"/>
          <c:order val="8"/>
          <c:tx>
            <c:v>0V8, 30A, 1MHz, 1ph</c:v>
          </c:tx>
          <c:spPr>
            <a:ln w="22225">
              <a:solidFill>
                <a:srgbClr val="CC00CC"/>
              </a:solidFill>
            </a:ln>
          </c:spPr>
          <c:marker>
            <c:symbol val="none"/>
          </c:marker>
          <c:xVal>
            <c:numRef>
              <c:f>Bode_Plot!$CX$50:$CX$177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Bode_Plot!$CY$50:$CY$177</c:f>
              <c:numCache>
                <c:formatCode>General</c:formatCode>
                <c:ptCount val="128"/>
                <c:pt idx="0">
                  <c:v>5.0092826536998691</c:v>
                </c:pt>
                <c:pt idx="1">
                  <c:v>5.0091499181950914</c:v>
                </c:pt>
                <c:pt idx="2">
                  <c:v>5.0087378435424865</c:v>
                </c:pt>
                <c:pt idx="3">
                  <c:v>5.0086265429991261</c:v>
                </c:pt>
                <c:pt idx="4">
                  <c:v>5.008492734025408</c:v>
                </c:pt>
                <c:pt idx="5">
                  <c:v>5.0083318656192244</c:v>
                </c:pt>
                <c:pt idx="6">
                  <c:v>5.0081384670084841</c:v>
                </c:pt>
                <c:pt idx="7">
                  <c:v>5.007905961942102</c:v>
                </c:pt>
                <c:pt idx="8">
                  <c:v>5.0076264455643145</c:v>
                </c:pt>
                <c:pt idx="9">
                  <c:v>5.0072904163694298</c:v>
                </c:pt>
                <c:pt idx="10">
                  <c:v>5.006886454244821</c:v>
                </c:pt>
                <c:pt idx="11">
                  <c:v>5.0064008338326662</c:v>
                </c:pt>
                <c:pt idx="12">
                  <c:v>5.0058170603246595</c:v>
                </c:pt>
                <c:pt idx="13">
                  <c:v>5.0051153122792833</c:v>
                </c:pt>
                <c:pt idx="14">
                  <c:v>5.0042717730671598</c:v>
                </c:pt>
                <c:pt idx="15">
                  <c:v>5.0032578289991427</c:v>
                </c:pt>
                <c:pt idx="16">
                  <c:v>5.0020391080244249</c:v>
                </c:pt>
                <c:pt idx="17">
                  <c:v>5.000574327965543</c:v>
                </c:pt>
                <c:pt idx="18">
                  <c:v>4.9988139175290627</c:v>
                </c:pt>
                <c:pt idx="19">
                  <c:v>4.9966983666591789</c:v>
                </c:pt>
                <c:pt idx="20">
                  <c:v>4.9941562551302372</c:v>
                </c:pt>
                <c:pt idx="21">
                  <c:v>4.9911018995279086</c:v>
                </c:pt>
                <c:pt idx="22">
                  <c:v>4.9874325489368561</c:v>
                </c:pt>
                <c:pt idx="23">
                  <c:v>4.9830250488120216</c:v>
                </c:pt>
                <c:pt idx="24">
                  <c:v>4.9777318808569246</c:v>
                </c:pt>
                <c:pt idx="25">
                  <c:v>4.9713764746706035</c:v>
                </c:pt>
                <c:pt idx="26">
                  <c:v>4.9637476751594143</c:v>
                </c:pt>
                <c:pt idx="27">
                  <c:v>4.9545932393851269</c:v>
                </c:pt>
                <c:pt idx="28">
                  <c:v>4.943612229382782</c:v>
                </c:pt>
                <c:pt idx="29">
                  <c:v>4.9304461661441854</c:v>
                </c:pt>
                <c:pt idx="30">
                  <c:v>4.9146688181485674</c:v>
                </c:pt>
                <c:pt idx="31">
                  <c:v>4.8957745207255048</c:v>
                </c:pt>
                <c:pt idx="32">
                  <c:v>4.8731649671318351</c:v>
                </c:pt>
                <c:pt idx="33">
                  <c:v>4.84613448754701</c:v>
                </c:pt>
                <c:pt idx="34">
                  <c:v>4.8138539493883172</c:v>
                </c:pt>
                <c:pt idx="35">
                  <c:v>4.7753535842687711</c:v>
                </c:pt>
                <c:pt idx="36">
                  <c:v>4.7295052869514578</c:v>
                </c:pt>
                <c:pt idx="37">
                  <c:v>4.6750052511244311</c:v>
                </c:pt>
                <c:pt idx="38">
                  <c:v>4.6103582105978704</c:v>
                </c:pt>
                <c:pt idx="39">
                  <c:v>4.5338650340178832</c:v>
                </c:pt>
                <c:pt idx="40">
                  <c:v>4.4436159447942449</c:v>
                </c:pt>
                <c:pt idx="41">
                  <c:v>4.3374921396772468</c:v>
                </c:pt>
                <c:pt idx="42">
                  <c:v>4.2131789486498521</c:v>
                </c:pt>
                <c:pt idx="43">
                  <c:v>4.0681937565358153</c:v>
                </c:pt>
                <c:pt idx="44">
                  <c:v>3.8999314970191756</c:v>
                </c:pt>
                <c:pt idx="45">
                  <c:v>3.7057294360466804</c:v>
                </c:pt>
                <c:pt idx="46">
                  <c:v>3.4829510537462398</c:v>
                </c:pt>
                <c:pt idx="47">
                  <c:v>3.2290861404828126</c:v>
                </c:pt>
                <c:pt idx="48">
                  <c:v>2.9418610207221008</c:v>
                </c:pt>
                <c:pt idx="49">
                  <c:v>2.6193496739821369</c:v>
                </c:pt>
                <c:pt idx="50">
                  <c:v>2.2600742240242901</c:v>
                </c:pt>
                <c:pt idx="51">
                  <c:v>1.8630826267743075</c:v>
                </c:pt>
                <c:pt idx="52">
                  <c:v>1.427992941804219</c:v>
                </c:pt>
                <c:pt idx="53">
                  <c:v>0.95499730938897454</c:v>
                </c:pt>
                <c:pt idx="54">
                  <c:v>0.44482400741327177</c:v>
                </c:pt>
                <c:pt idx="55">
                  <c:v>-0.10133843593627333</c:v>
                </c:pt>
                <c:pt idx="56">
                  <c:v>-0.68194642868471234</c:v>
                </c:pt>
                <c:pt idx="57">
                  <c:v>-1.2952243810417179</c:v>
                </c:pt>
                <c:pt idx="58">
                  <c:v>-1.9392937027927513</c:v>
                </c:pt>
                <c:pt idx="59">
                  <c:v>-2.6122972170292376</c:v>
                </c:pt>
                <c:pt idx="60">
                  <c:v>-3.3125111514556616</c:v>
                </c:pt>
                <c:pt idx="61">
                  <c:v>-4.038439942201288</c:v>
                </c:pt>
                <c:pt idx="62">
                  <c:v>-4.7888918438943264</c:v>
                </c:pt>
                <c:pt idx="63">
                  <c:v>-5.5630353441542102</c:v>
                </c:pt>
                <c:pt idx="64">
                  <c:v>-6.3604374778012431</c:v>
                </c:pt>
                <c:pt idx="65">
                  <c:v>-7.1810853961252752</c:v>
                </c:pt>
                <c:pt idx="66">
                  <c:v>-8.0253921765269904</c:v>
                </c:pt>
                <c:pt idx="67">
                  <c:v>-8.8941871310658076</c:v>
                </c:pt>
                <c:pt idx="68">
                  <c:v>-9.7886900862077795</c:v>
                </c:pt>
                <c:pt idx="69">
                  <c:v>-10.710468560944758</c:v>
                </c:pt>
                <c:pt idx="70">
                  <c:v>-11.661376753667884</c:v>
                </c:pt>
                <c:pt idx="71">
                  <c:v>-12.643476001964935</c:v>
                </c:pt>
                <c:pt idx="72">
                  <c:v>-13.658938042068003</c:v>
                </c:pt>
                <c:pt idx="73">
                  <c:v>-14.709934917390161</c:v>
                </c:pt>
                <c:pt idx="74">
                  <c:v>-15.798522453942867</c:v>
                </c:pt>
                <c:pt idx="75">
                  <c:v>-16.926527228622856</c:v>
                </c:pt>
                <c:pt idx="76">
                  <c:v>-18.095449090799931</c:v>
                </c:pt>
                <c:pt idx="77">
                  <c:v>-19.306391752368537</c:v>
                </c:pt>
                <c:pt idx="78">
                  <c:v>-20.560032239356193</c:v>
                </c:pt>
                <c:pt idx="79">
                  <c:v>-21.856636175054316</c:v>
                </c:pt>
                <c:pt idx="80">
                  <c:v>-23.196120667062004</c:v>
                </c:pt>
                <c:pt idx="81">
                  <c:v>-24.578161184868556</c:v>
                </c:pt>
                <c:pt idx="82">
                  <c:v>-26.002334479369587</c:v>
                </c:pt>
                <c:pt idx="83">
                  <c:v>-27.4682871518607</c:v>
                </c:pt>
                <c:pt idx="84">
                  <c:v>-28.975919063481193</c:v>
                </c:pt>
                <c:pt idx="85">
                  <c:v>-30.525571729760038</c:v>
                </c:pt>
                <c:pt idx="86">
                  <c:v>-32.118212752144323</c:v>
                </c:pt>
                <c:pt idx="87">
                  <c:v>-33.755605921761955</c:v>
                </c:pt>
                <c:pt idx="88">
                  <c:v>-35.440449113377959</c:v>
                </c:pt>
                <c:pt idx="89">
                  <c:v>-37.176441349729316</c:v>
                </c:pt>
                <c:pt idx="90">
                  <c:v>-38.96819162016223</c:v>
                </c:pt>
                <c:pt idx="91">
                  <c:v>-40.820772935122001</c:v>
                </c:pt>
                <c:pt idx="92">
                  <c:v>-42.738485966648668</c:v>
                </c:pt>
                <c:pt idx="93">
                  <c:v>-44.721886136449939</c:v>
                </c:pt>
                <c:pt idx="94">
                  <c:v>-46.761118405293615</c:v>
                </c:pt>
                <c:pt idx="95">
                  <c:v>-48.822052383109245</c:v>
                </c:pt>
                <c:pt idx="96">
                  <c:v>-50.821532358653762</c:v>
                </c:pt>
                <c:pt idx="97">
                  <c:v>-52.598928508858393</c:v>
                </c:pt>
                <c:pt idx="98">
                  <c:v>-53.930178045481782</c:v>
                </c:pt>
                <c:pt idx="99">
                  <c:v>-54.650817215572147</c:v>
                </c:pt>
                <c:pt idx="100">
                  <c:v>-54.806822332749803</c:v>
                </c:pt>
                <c:pt idx="101">
                  <c:v>-54.608709207092971</c:v>
                </c:pt>
                <c:pt idx="102">
                  <c:v>-54.266158254605728</c:v>
                </c:pt>
                <c:pt idx="103">
                  <c:v>-53.909845374265885</c:v>
                </c:pt>
                <c:pt idx="104">
                  <c:v>-53.602541972466575</c:v>
                </c:pt>
                <c:pt idx="105">
                  <c:v>-53.368707900504404</c:v>
                </c:pt>
                <c:pt idx="106">
                  <c:v>-53.214812609901827</c:v>
                </c:pt>
                <c:pt idx="107">
                  <c:v>-53.139846013710539</c:v>
                </c:pt>
                <c:pt idx="108">
                  <c:v>-53.140146300069738</c:v>
                </c:pt>
                <c:pt idx="109">
                  <c:v>-53.211436064873752</c:v>
                </c:pt>
                <c:pt idx="110">
                  <c:v>-53.349571810143402</c:v>
                </c:pt>
                <c:pt idx="111">
                  <c:v>-53.550725730021036</c:v>
                </c:pt>
                <c:pt idx="112">
                  <c:v>-53.811336764336666</c:v>
                </c:pt>
                <c:pt idx="113">
                  <c:v>-54.127989774866407</c:v>
                </c:pt>
                <c:pt idx="114">
                  <c:v>-54.497297631057478</c:v>
                </c:pt>
                <c:pt idx="115">
                  <c:v>-54.915819120237465</c:v>
                </c:pt>
                <c:pt idx="116">
                  <c:v>-55.380022971350201</c:v>
                </c:pt>
                <c:pt idx="117">
                  <c:v>-55.886295300049355</c:v>
                </c:pt>
                <c:pt idx="118">
                  <c:v>-56.430980626322139</c:v>
                </c:pt>
                <c:pt idx="119">
                  <c:v>-57.010443643553721</c:v>
                </c:pt>
                <c:pt idx="120">
                  <c:v>-57.621139063597404</c:v>
                </c:pt>
                <c:pt idx="121">
                  <c:v>-58.259679080983986</c:v>
                </c:pt>
                <c:pt idx="122">
                  <c:v>-58.922891240406514</c:v>
                </c:pt>
                <c:pt idx="123">
                  <c:v>-59.60786285404447</c:v>
                </c:pt>
                <c:pt idx="124">
                  <c:v>-60.311970981401721</c:v>
                </c:pt>
                <c:pt idx="125">
                  <c:v>-61.032899054035965</c:v>
                </c:pt>
                <c:pt idx="126">
                  <c:v>-61.768642463296658</c:v>
                </c:pt>
                <c:pt idx="127">
                  <c:v>-62.517505958063488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293-4044-8A51-721F62B008BC}"/>
            </c:ext>
          </c:extLst>
        </c:ser>
        <c:ser>
          <c:idx val="9"/>
          <c:order val="9"/>
          <c:tx>
            <c:v>…..</c:v>
          </c:tx>
          <c:spPr>
            <a:ln>
              <a:solidFill>
                <a:srgbClr val="CC00CC"/>
              </a:solidFill>
              <a:prstDash val="sysDash"/>
            </a:ln>
          </c:spPr>
          <c:marker>
            <c:symbol val="none"/>
          </c:marker>
          <c:xVal>
            <c:numRef>
              <c:f>Bode_Plot!$CU$50:$CU$150</c:f>
              <c:numCache>
                <c:formatCode>General</c:formatCode>
                <c:ptCount val="101"/>
                <c:pt idx="0">
                  <c:v>100</c:v>
                </c:pt>
                <c:pt idx="1">
                  <c:v>109.647819614318</c:v>
                </c:pt>
                <c:pt idx="2">
                  <c:v>120.226443461741</c:v>
                </c:pt>
                <c:pt idx="3">
                  <c:v>131.82567385563999</c:v>
                </c:pt>
                <c:pt idx="4">
                  <c:v>144.54397707459199</c:v>
                </c:pt>
                <c:pt idx="5">
                  <c:v>158.48931924611099</c:v>
                </c:pt>
                <c:pt idx="6">
                  <c:v>173.78008287493699</c:v>
                </c:pt>
                <c:pt idx="7">
                  <c:v>190.54607179632399</c:v>
                </c:pt>
                <c:pt idx="8">
                  <c:v>208.92961308540299</c:v>
                </c:pt>
                <c:pt idx="9">
                  <c:v>229.08676527677699</c:v>
                </c:pt>
                <c:pt idx="10">
                  <c:v>251.188643150958</c:v>
                </c:pt>
                <c:pt idx="11">
                  <c:v>275.42287033381598</c:v>
                </c:pt>
                <c:pt idx="12">
                  <c:v>301.995172040201</c:v>
                </c:pt>
                <c:pt idx="13">
                  <c:v>331.13112148259103</c:v>
                </c:pt>
                <c:pt idx="14">
                  <c:v>363.07805477010101</c:v>
                </c:pt>
                <c:pt idx="15">
                  <c:v>398.10717055349699</c:v>
                </c:pt>
                <c:pt idx="16">
                  <c:v>436.51583224016503</c:v>
                </c:pt>
                <c:pt idx="17">
                  <c:v>478.63009232263801</c:v>
                </c:pt>
                <c:pt idx="18">
                  <c:v>524.80746024977202</c:v>
                </c:pt>
                <c:pt idx="19">
                  <c:v>575.43993733715604</c:v>
                </c:pt>
                <c:pt idx="20">
                  <c:v>630.957344480193</c:v>
                </c:pt>
                <c:pt idx="21">
                  <c:v>691.83097091893603</c:v>
                </c:pt>
                <c:pt idx="22">
                  <c:v>758.57757502918298</c:v>
                </c:pt>
                <c:pt idx="23">
                  <c:v>831.76377110267094</c:v>
                </c:pt>
                <c:pt idx="24">
                  <c:v>912.01083935590896</c:v>
                </c:pt>
                <c:pt idx="25">
                  <c:v>1000</c:v>
                </c:pt>
                <c:pt idx="26">
                  <c:v>1096.47819614318</c:v>
                </c:pt>
                <c:pt idx="27">
                  <c:v>1202.26443461741</c:v>
                </c:pt>
                <c:pt idx="28">
                  <c:v>1318.2567385564</c:v>
                </c:pt>
                <c:pt idx="29">
                  <c:v>1445.43977074592</c:v>
                </c:pt>
                <c:pt idx="30">
                  <c:v>1584.8931924611099</c:v>
                </c:pt>
                <c:pt idx="31">
                  <c:v>1737.8008287493701</c:v>
                </c:pt>
                <c:pt idx="32">
                  <c:v>1905.4607179632401</c:v>
                </c:pt>
                <c:pt idx="33">
                  <c:v>2089.2961308540298</c:v>
                </c:pt>
                <c:pt idx="34">
                  <c:v>2290.8676527677699</c:v>
                </c:pt>
                <c:pt idx="35">
                  <c:v>2511.8864315095698</c:v>
                </c:pt>
                <c:pt idx="36">
                  <c:v>2754.2287033381599</c:v>
                </c:pt>
                <c:pt idx="37">
                  <c:v>3019.9517204020099</c:v>
                </c:pt>
                <c:pt idx="38">
                  <c:v>3311.3112148259102</c:v>
                </c:pt>
                <c:pt idx="39">
                  <c:v>3630.7805477010102</c:v>
                </c:pt>
                <c:pt idx="40">
                  <c:v>3981.0717055349701</c:v>
                </c:pt>
                <c:pt idx="41">
                  <c:v>4365.1583224016504</c:v>
                </c:pt>
                <c:pt idx="42">
                  <c:v>4786.3009232263803</c:v>
                </c:pt>
                <c:pt idx="43">
                  <c:v>5248.0746024977198</c:v>
                </c:pt>
                <c:pt idx="44">
                  <c:v>5754.3993733715597</c:v>
                </c:pt>
                <c:pt idx="45">
                  <c:v>6309.5734448019302</c:v>
                </c:pt>
                <c:pt idx="46">
                  <c:v>6918.3097091893596</c:v>
                </c:pt>
                <c:pt idx="47">
                  <c:v>7585.7757502918303</c:v>
                </c:pt>
                <c:pt idx="48">
                  <c:v>8317.6377110267003</c:v>
                </c:pt>
                <c:pt idx="49">
                  <c:v>9120.1083935590905</c:v>
                </c:pt>
                <c:pt idx="50">
                  <c:v>10000</c:v>
                </c:pt>
                <c:pt idx="51">
                  <c:v>10964.7819614318</c:v>
                </c:pt>
                <c:pt idx="52">
                  <c:v>12022.6443461741</c:v>
                </c:pt>
                <c:pt idx="53">
                  <c:v>13182.567385564</c:v>
                </c:pt>
                <c:pt idx="54">
                  <c:v>14454.3977074592</c:v>
                </c:pt>
                <c:pt idx="55">
                  <c:v>15848.931924611101</c:v>
                </c:pt>
                <c:pt idx="56">
                  <c:v>17378.0082874937</c:v>
                </c:pt>
                <c:pt idx="57">
                  <c:v>19054.607179632399</c:v>
                </c:pt>
                <c:pt idx="58">
                  <c:v>20892.9613085403</c:v>
                </c:pt>
                <c:pt idx="59">
                  <c:v>22908.676527677701</c:v>
                </c:pt>
                <c:pt idx="60">
                  <c:v>25118.8643150957</c:v>
                </c:pt>
                <c:pt idx="61">
                  <c:v>27542.287033381599</c:v>
                </c:pt>
                <c:pt idx="62">
                  <c:v>30199.5172040201</c:v>
                </c:pt>
                <c:pt idx="63">
                  <c:v>33113.112148259097</c:v>
                </c:pt>
                <c:pt idx="64">
                  <c:v>36307.805477010101</c:v>
                </c:pt>
                <c:pt idx="65">
                  <c:v>39810.717055349698</c:v>
                </c:pt>
                <c:pt idx="66">
                  <c:v>43651.583224016598</c:v>
                </c:pt>
                <c:pt idx="67">
                  <c:v>47863.009232263801</c:v>
                </c:pt>
                <c:pt idx="68">
                  <c:v>52480.746024977198</c:v>
                </c:pt>
                <c:pt idx="69">
                  <c:v>57543.993733715601</c:v>
                </c:pt>
                <c:pt idx="70">
                  <c:v>63095.734448019197</c:v>
                </c:pt>
                <c:pt idx="71">
                  <c:v>69183.097091893593</c:v>
                </c:pt>
                <c:pt idx="72">
                  <c:v>75857.757502918306</c:v>
                </c:pt>
                <c:pt idx="73">
                  <c:v>83176.377110267</c:v>
                </c:pt>
                <c:pt idx="74">
                  <c:v>91201.083935590897</c:v>
                </c:pt>
                <c:pt idx="75">
                  <c:v>100000</c:v>
                </c:pt>
                <c:pt idx="76">
                  <c:v>109647.819614318</c:v>
                </c:pt>
                <c:pt idx="77">
                  <c:v>120226.443461741</c:v>
                </c:pt>
                <c:pt idx="78">
                  <c:v>131825.67385563999</c:v>
                </c:pt>
                <c:pt idx="79">
                  <c:v>144543.977074592</c:v>
                </c:pt>
                <c:pt idx="80">
                  <c:v>158489.319246111</c:v>
                </c:pt>
                <c:pt idx="81">
                  <c:v>173780.08287493701</c:v>
                </c:pt>
                <c:pt idx="82">
                  <c:v>190546.07179632399</c:v>
                </c:pt>
                <c:pt idx="83">
                  <c:v>208929.61308540299</c:v>
                </c:pt>
                <c:pt idx="84">
                  <c:v>229086.76527677701</c:v>
                </c:pt>
                <c:pt idx="85">
                  <c:v>251188.64315095701</c:v>
                </c:pt>
                <c:pt idx="86">
                  <c:v>275422.87033381598</c:v>
                </c:pt>
                <c:pt idx="87">
                  <c:v>301995.17204020103</c:v>
                </c:pt>
                <c:pt idx="88">
                  <c:v>331131.12148259103</c:v>
                </c:pt>
                <c:pt idx="89">
                  <c:v>363078.05477010098</c:v>
                </c:pt>
                <c:pt idx="90">
                  <c:v>398107.17055349698</c:v>
                </c:pt>
                <c:pt idx="91">
                  <c:v>436515.83224016603</c:v>
                </c:pt>
                <c:pt idx="92">
                  <c:v>478630.09232263803</c:v>
                </c:pt>
                <c:pt idx="93">
                  <c:v>524807.46024977195</c:v>
                </c:pt>
                <c:pt idx="94">
                  <c:v>575439.93733715604</c:v>
                </c:pt>
                <c:pt idx="95">
                  <c:v>630957.34448019206</c:v>
                </c:pt>
                <c:pt idx="96">
                  <c:v>691830.97091893596</c:v>
                </c:pt>
                <c:pt idx="97">
                  <c:v>758577.57502918295</c:v>
                </c:pt>
                <c:pt idx="98">
                  <c:v>831763.77110267</c:v>
                </c:pt>
                <c:pt idx="99">
                  <c:v>912010.83935590903</c:v>
                </c:pt>
                <c:pt idx="100">
                  <c:v>1000000</c:v>
                </c:pt>
              </c:numCache>
            </c:numRef>
          </c:xVal>
          <c:yVal>
            <c:numRef>
              <c:f>Bode_Plot!$CV$50:$CV$150</c:f>
              <c:numCache>
                <c:formatCode>General</c:formatCode>
                <c:ptCount val="101"/>
                <c:pt idx="0">
                  <c:v>4.7496095880993803</c:v>
                </c:pt>
                <c:pt idx="1">
                  <c:v>4.7495055258307399</c:v>
                </c:pt>
                <c:pt idx="2">
                  <c:v>4.7493804186987996</c:v>
                </c:pt>
                <c:pt idx="3">
                  <c:v>4.7492300115125197</c:v>
                </c:pt>
                <c:pt idx="4">
                  <c:v>4.7490491890535003</c:v>
                </c:pt>
                <c:pt idx="5">
                  <c:v>4.7488318023983203</c:v>
                </c:pt>
                <c:pt idx="6">
                  <c:v>4.7485704602549799</c:v>
                </c:pt>
                <c:pt idx="7">
                  <c:v>4.7482562782700501</c:v>
                </c:pt>
                <c:pt idx="8">
                  <c:v>4.7478785778977501</c:v>
                </c:pt>
                <c:pt idx="9">
                  <c:v>4.7474245247384497</c:v>
                </c:pt>
                <c:pt idx="10">
                  <c:v>4.7468786942861998</c:v>
                </c:pt>
                <c:pt idx="11">
                  <c:v>4.7462225506373201</c:v>
                </c:pt>
                <c:pt idx="12">
                  <c:v>4.7454338209124103</c:v>
                </c:pt>
                <c:pt idx="13">
                  <c:v>4.74448574481276</c:v>
                </c:pt>
                <c:pt idx="14">
                  <c:v>4.7433461747880603</c:v>
                </c:pt>
                <c:pt idx="15">
                  <c:v>4.7419764976685297</c:v>
                </c:pt>
                <c:pt idx="16">
                  <c:v>4.7403303431814603</c:v>
                </c:pt>
                <c:pt idx="17">
                  <c:v>4.7383520384416498</c:v>
                </c:pt>
                <c:pt idx="18">
                  <c:v>4.7359747602325504</c:v>
                </c:pt>
                <c:pt idx="19">
                  <c:v>4.7331183284902201</c:v>
                </c:pt>
                <c:pt idx="20">
                  <c:v>4.7296865749911001</c:v>
                </c:pt>
                <c:pt idx="21">
                  <c:v>4.7255642107137001</c:v>
                </c:pt>
                <c:pt idx="22">
                  <c:v>4.7206131039279304</c:v>
                </c:pt>
                <c:pt idx="23">
                  <c:v>4.7146678690489798</c:v>
                </c:pt>
                <c:pt idx="24">
                  <c:v>4.7075306542603697</c:v>
                </c:pt>
                <c:pt idx="25">
                  <c:v>4.6989650047995699</c:v>
                </c:pt>
                <c:pt idx="26">
                  <c:v>4.6886886701427404</c:v>
                </c:pt>
                <c:pt idx="27">
                  <c:v>4.6763652193424097</c:v>
                </c:pt>
                <c:pt idx="28">
                  <c:v>4.6615943327211298</c:v>
                </c:pt>
                <c:pt idx="29">
                  <c:v>4.6439006546961101</c:v>
                </c:pt>
                <c:pt idx="30">
                  <c:v>4.6227211277746196</c:v>
                </c:pt>
                <c:pt idx="31">
                  <c:v>4.59739079020917</c:v>
                </c:pt>
                <c:pt idx="32">
                  <c:v>4.5671271195618397</c:v>
                </c:pt>
                <c:pt idx="33">
                  <c:v>4.5310131539194201</c:v>
                </c:pt>
                <c:pt idx="34">
                  <c:v>4.4879798351085203</c:v>
                </c:pt>
                <c:pt idx="35">
                  <c:v>4.4367883064133</c:v>
                </c:pt>
                <c:pt idx="36">
                  <c:v>4.3760132690573403</c:v>
                </c:pt>
                <c:pt idx="37">
                  <c:v>4.3040289543622299</c:v>
                </c:pt>
                <c:pt idx="38">
                  <c:v>4.2189997806046602</c:v>
                </c:pt>
                <c:pt idx="39">
                  <c:v>4.1188782830900204</c:v>
                </c:pt>
                <c:pt idx="40">
                  <c:v>4.0014133403099699</c:v>
                </c:pt>
                <c:pt idx="41">
                  <c:v>3.8641719267683601</c:v>
                </c:pt>
                <c:pt idx="42">
                  <c:v>3.70457741961732</c:v>
                </c:pt>
                <c:pt idx="43">
                  <c:v>3.5199666690172799</c:v>
                </c:pt>
                <c:pt idx="44">
                  <c:v>3.3076664462103502</c:v>
                </c:pt>
                <c:pt idx="45">
                  <c:v>3.06508746612923</c:v>
                </c:pt>
                <c:pt idx="46">
                  <c:v>2.7898311179424402</c:v>
                </c:pt>
                <c:pt idx="47">
                  <c:v>2.47980078593252</c:v>
                </c:pt>
                <c:pt idx="48">
                  <c:v>2.1333069257615498</c:v>
                </c:pt>
                <c:pt idx="49">
                  <c:v>1.7491537121596099</c:v>
                </c:pt>
                <c:pt idx="50">
                  <c:v>1.3266957708120599</c:v>
                </c:pt>
                <c:pt idx="51">
                  <c:v>0.86585646974188302</c:v>
                </c:pt>
                <c:pt idx="52">
                  <c:v>0.367104049883624</c:v>
                </c:pt>
                <c:pt idx="53">
                  <c:v>-0.16861249139468101</c:v>
                </c:pt>
                <c:pt idx="54">
                  <c:v>-0.73996067551025502</c:v>
                </c:pt>
                <c:pt idx="55">
                  <c:v>-1.3453442982905599</c:v>
                </c:pt>
                <c:pt idx="56">
                  <c:v>-1.9830335784761699</c:v>
                </c:pt>
                <c:pt idx="57">
                  <c:v>-2.6512943201971102</c:v>
                </c:pt>
                <c:pt idx="58">
                  <c:v>-3.3485069449112999</c:v>
                </c:pt>
                <c:pt idx="59">
                  <c:v>-4.0732691736112496</c:v>
                </c:pt>
                <c:pt idx="60">
                  <c:v>-4.82447897270767</c:v>
                </c:pt>
                <c:pt idx="61">
                  <c:v>-5.6013965764642304</c:v>
                </c:pt>
                <c:pt idx="62">
                  <c:v>-6.4036857283711797</c:v>
                </c:pt>
                <c:pt idx="63">
                  <c:v>-7.2314347718220597</c:v>
                </c:pt>
                <c:pt idx="64">
                  <c:v>-8.0851580777671206</c:v>
                </c:pt>
                <c:pt idx="65">
                  <c:v>-8.9657778349201696</c:v>
                </c:pt>
                <c:pt idx="66">
                  <c:v>-9.8745857956804297</c:v>
                </c:pt>
                <c:pt idx="67">
                  <c:v>-10.813184510134899</c:v>
                </c:pt>
                <c:pt idx="68">
                  <c:v>-11.7834081828588</c:v>
                </c:pt>
                <c:pt idx="69">
                  <c:v>-12.7872247364222</c:v>
                </c:pt>
                <c:pt idx="70">
                  <c:v>-13.826622961258501</c:v>
                </c:pt>
                <c:pt idx="71">
                  <c:v>-14.9034915125974</c:v>
                </c:pt>
                <c:pt idx="72">
                  <c:v>-16.019499426005201</c:v>
                </c:pt>
                <c:pt idx="73">
                  <c:v>-17.175989979264301</c:v>
                </c:pt>
                <c:pt idx="74">
                  <c:v>-18.373900312739</c:v>
                </c:pt>
                <c:pt idx="75">
                  <c:v>-19.613717676459402</c:v>
                </c:pt>
                <c:pt idx="76">
                  <c:v>-20.895479481392901</c:v>
                </c:pt>
                <c:pt idx="77">
                  <c:v>-22.218819125079602</c:v>
                </c:pt>
                <c:pt idx="78">
                  <c:v>-23.583053963155901</c:v>
                </c:pt>
                <c:pt idx="79">
                  <c:v>-24.987307042314299</c:v>
                </c:pt>
                <c:pt idx="80">
                  <c:v>-26.430651183516201</c:v>
                </c:pt>
                <c:pt idx="81">
                  <c:v>-27.9122629129036</c:v>
                </c:pt>
                <c:pt idx="82">
                  <c:v>-29.432207674577299</c:v>
                </c:pt>
                <c:pt idx="83">
                  <c:v>-30.9892869786982</c:v>
                </c:pt>
                <c:pt idx="84">
                  <c:v>-32.584334815482798</c:v>
                </c:pt>
                <c:pt idx="85">
                  <c:v>-34.2183010525778</c:v>
                </c:pt>
                <c:pt idx="86">
                  <c:v>-35.8934472794257</c:v>
                </c:pt>
                <c:pt idx="87">
                  <c:v>-37.610550746288197</c:v>
                </c:pt>
                <c:pt idx="88">
                  <c:v>-39.372044978680002</c:v>
                </c:pt>
                <c:pt idx="89">
                  <c:v>-41.179979093878501</c:v>
                </c:pt>
                <c:pt idx="90">
                  <c:v>-43.029661167420201</c:v>
                </c:pt>
                <c:pt idx="91">
                  <c:v>-44.910571111384101</c:v>
                </c:pt>
                <c:pt idx="92">
                  <c:v>-46.794929024067699</c:v>
                </c:pt>
                <c:pt idx="93">
                  <c:v>-48.6072131484352</c:v>
                </c:pt>
                <c:pt idx="94">
                  <c:v>-50.202364741677897</c:v>
                </c:pt>
                <c:pt idx="95">
                  <c:v>-51.331604226156102</c:v>
                </c:pt>
                <c:pt idx="96">
                  <c:v>-51.810106889828603</c:v>
                </c:pt>
                <c:pt idx="97">
                  <c:v>-52.347592145101302</c:v>
                </c:pt>
                <c:pt idx="98">
                  <c:v>-54.876833594018898</c:v>
                </c:pt>
                <c:pt idx="99">
                  <c:v>-61.185132825409198</c:v>
                </c:pt>
                <c:pt idx="100">
                  <c:v>-153.45935767032501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BD9-415D-A6EC-E478FFDCE476}"/>
            </c:ext>
          </c:extLst>
        </c:ser>
        <c:ser>
          <c:idx val="10"/>
          <c:order val="10"/>
          <c:tx>
            <c:v>active</c:v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Bode_Plot!$Y$50:$Y$177</c:f>
              <c:numCache>
                <c:formatCode>0.000</c:formatCode>
                <c:ptCount val="128"/>
                <c:pt idx="0">
                  <c:v>7.130639732742365</c:v>
                </c:pt>
                <c:pt idx="1">
                  <c:v>7.1305045331250438</c:v>
                </c:pt>
                <c:pt idx="2">
                  <c:v>7.1300848083405057</c:v>
                </c:pt>
                <c:pt idx="3">
                  <c:v>7.1299714414222279</c:v>
                </c:pt>
                <c:pt idx="4">
                  <c:v>7.1298351481378761</c:v>
                </c:pt>
                <c:pt idx="5">
                  <c:v>7.1296712929601185</c:v>
                </c:pt>
                <c:pt idx="6">
                  <c:v>7.1294743034987418</c:v>
                </c:pt>
                <c:pt idx="7">
                  <c:v>7.1292374813361299</c:v>
                </c:pt>
                <c:pt idx="8">
                  <c:v>7.128952774747793</c:v>
                </c:pt>
                <c:pt idx="9">
                  <c:v>7.1286105056638949</c:v>
                </c:pt>
                <c:pt idx="10">
                  <c:v>7.1281990417110483</c:v>
                </c:pt>
                <c:pt idx="11">
                  <c:v>7.1277044023612026</c:v>
                </c:pt>
                <c:pt idx="12">
                  <c:v>7.1271097860567441</c:v>
                </c:pt>
                <c:pt idx="13">
                  <c:v>7.12639500261138</c:v>
                </c:pt>
                <c:pt idx="14">
                  <c:v>7.1255357921358051</c:v>
                </c:pt>
                <c:pt idx="15">
                  <c:v>7.1245030081265561</c:v>
                </c:pt>
                <c:pt idx="16">
                  <c:v>7.1232616380936467</c:v>
                </c:pt>
                <c:pt idx="17">
                  <c:v>7.1217696300925306</c:v>
                </c:pt>
                <c:pt idx="18">
                  <c:v>7.1199764876687324</c:v>
                </c:pt>
                <c:pt idx="19">
                  <c:v>7.1178215889146976</c:v>
                </c:pt>
                <c:pt idx="20">
                  <c:v>7.1152321774954093</c:v>
                </c:pt>
                <c:pt idx="21">
                  <c:v>7.1121209645479322</c:v>
                </c:pt>
                <c:pt idx="22">
                  <c:v>7.1083832702927605</c:v>
                </c:pt>
                <c:pt idx="23">
                  <c:v>7.1038936230661083</c:v>
                </c:pt>
                <c:pt idx="24">
                  <c:v>7.0985017214975823</c:v>
                </c:pt>
                <c:pt idx="25">
                  <c:v>7.0920276531004989</c:v>
                </c:pt>
                <c:pt idx="26">
                  <c:v>7.0842562503222624</c:v>
                </c:pt>
                <c:pt idx="27">
                  <c:v>7.074930454241688</c:v>
                </c:pt>
                <c:pt idx="28">
                  <c:v>7.0637435483518516</c:v>
                </c:pt>
                <c:pt idx="29">
                  <c:v>7.0503301228245228</c:v>
                </c:pt>
                <c:pt idx="30">
                  <c:v>7.0342556370445255</c:v>
                </c:pt>
                <c:pt idx="31">
                  <c:v>7.0150044702098926</c:v>
                </c:pt>
                <c:pt idx="32">
                  <c:v>6.9919663934037501</c:v>
                </c:pt>
                <c:pt idx="33">
                  <c:v>6.9644214707815095</c:v>
                </c:pt>
                <c:pt idx="34">
                  <c:v>6.9315235135477318</c:v>
                </c:pt>
                <c:pt idx="35">
                  <c:v>6.8922823810762965</c:v>
                </c:pt>
                <c:pt idx="36">
                  <c:v>6.8455456622470043</c:v>
                </c:pt>
                <c:pt idx="37">
                  <c:v>6.7899805881707467</c:v>
                </c:pt>
                <c:pt idx="38">
                  <c:v>6.7240574297999745</c:v>
                </c:pt>
                <c:pt idx="39">
                  <c:v>6.6460361118620472</c:v>
                </c:pt>
                <c:pt idx="40">
                  <c:v>6.5539582964513823</c:v>
                </c:pt>
                <c:pt idx="41">
                  <c:v>6.4456476894909445</c:v>
                </c:pt>
                <c:pt idx="42">
                  <c:v>6.3187216905719357</c:v>
                </c:pt>
                <c:pt idx="43">
                  <c:v>6.1706175827945913</c:v>
                </c:pt>
                <c:pt idx="44">
                  <c:v>5.9986360491824442</c:v>
                </c:pt>
                <c:pt idx="45">
                  <c:v>5.8000037113922183</c:v>
                </c:pt>
                <c:pt idx="46">
                  <c:v>5.5719544880688998</c:v>
                </c:pt>
                <c:pt idx="47">
                  <c:v>5.3118268978383814</c:v>
                </c:pt>
                <c:pt idx="48">
                  <c:v>5.0171712696316408</c:v>
                </c:pt>
                <c:pt idx="49">
                  <c:v>4.685857744596861</c:v>
                </c:pt>
                <c:pt idx="50">
                  <c:v>4.3161737555630832</c:v>
                </c:pt>
                <c:pt idx="51">
                  <c:v>3.9068991688235681</c:v>
                </c:pt>
                <c:pt idx="52">
                  <c:v>3.4573490089709589</c:v>
                </c:pt>
                <c:pt idx="53">
                  <c:v>2.9673776468705308</c:v>
                </c:pt>
                <c:pt idx="54">
                  <c:v>2.4373438391035576</c:v>
                </c:pt>
                <c:pt idx="55">
                  <c:v>1.8680418843409117</c:v>
                </c:pt>
                <c:pt idx="56">
                  <c:v>1.2606090986014782</c:v>
                </c:pt>
                <c:pt idx="57">
                  <c:v>0.61642279546810419</c:v>
                </c:pt>
                <c:pt idx="58">
                  <c:v>-6.2999446342808824E-2</c:v>
                </c:pt>
                <c:pt idx="59">
                  <c:v>-0.776084075835346</c:v>
                </c:pt>
                <c:pt idx="60">
                  <c:v>-1.5212615698041136</c:v>
                </c:pt>
                <c:pt idx="61">
                  <c:v>-2.2969975797458129</c:v>
                </c:pt>
                <c:pt idx="62">
                  <c:v>-3.1017953662198643</c:v>
                </c:pt>
                <c:pt idx="63">
                  <c:v>-3.9341743272809797</c:v>
                </c:pt>
                <c:pt idx="64">
                  <c:v>-4.792633671244821</c:v>
                </c:pt>
                <c:pt idx="65">
                  <c:v>-5.6756136331807756</c:v>
                </c:pt>
                <c:pt idx="66">
                  <c:v>-6.581468454445691</c:v>
                </c:pt>
                <c:pt idx="67">
                  <c:v>-7.508464919215454</c:v>
                </c:pt>
                <c:pt idx="68">
                  <c:v>-8.4548170388455777</c:v>
                </c:pt>
                <c:pt idx="69">
                  <c:v>-9.4187615088321621</c:v>
                </c:pt>
                <c:pt idx="70">
                  <c:v>-10.398670671164671</c:v>
                </c:pt>
                <c:pt idx="71">
                  <c:v>-11.393191533901572</c:v>
                </c:pt>
                <c:pt idx="72">
                  <c:v>-12.401392951169001</c:v>
                </c:pt>
                <c:pt idx="73">
                  <c:v>-13.422900067609785</c:v>
                </c:pt>
                <c:pt idx="74">
                  <c:v>-14.457996344402291</c:v>
                </c:pt>
                <c:pt idx="75">
                  <c:v>-15.507678442192425</c:v>
                </c:pt>
                <c:pt idx="76">
                  <c:v>-16.57365649025563</c:v>
                </c:pt>
                <c:pt idx="77">
                  <c:v>-17.658300021299823</c:v>
                </c:pt>
                <c:pt idx="78">
                  <c:v>-18.764536624508807</c:v>
                </c:pt>
                <c:pt idx="79">
                  <c:v>-19.895715412068352</c:v>
                </c:pt>
                <c:pt idx="80">
                  <c:v>-21.055450648156864</c:v>
                </c:pt>
                <c:pt idx="81">
                  <c:v>-22.247462656389544</c:v>
                </c:pt>
                <c:pt idx="82">
                  <c:v>-23.475433668188636</c:v>
                </c:pt>
                <c:pt idx="83">
                  <c:v>-24.742895610225926</c:v>
                </c:pt>
                <c:pt idx="84">
                  <c:v>-26.053164769002379</c:v>
                </c:pt>
                <c:pt idx="85">
                  <c:v>-27.409334716019696</c:v>
                </c:pt>
                <c:pt idx="86">
                  <c:v>-28.814334126371648</c:v>
                </c:pt>
                <c:pt idx="87">
                  <c:v>-30.271051007890545</c:v>
                </c:pt>
                <c:pt idx="88">
                  <c:v>-31.782520594794299</c:v>
                </c:pt>
                <c:pt idx="89">
                  <c:v>-33.352171980921909</c:v>
                </c:pt>
                <c:pt idx="90">
                  <c:v>-34.984129282471386</c:v>
                </c:pt>
                <c:pt idx="91">
                  <c:v>-36.68356672978846</c:v>
                </c:pt>
                <c:pt idx="92">
                  <c:v>-38.457122317353559</c:v>
                </c:pt>
                <c:pt idx="93">
                  <c:v>-40.313377726954549</c:v>
                </c:pt>
                <c:pt idx="94">
                  <c:v>-42.263403077104478</c:v>
                </c:pt>
                <c:pt idx="95">
                  <c:v>-44.321315270431086</c:v>
                </c:pt>
                <c:pt idx="96">
                  <c:v>-46.504624939289968</c:v>
                </c:pt>
                <c:pt idx="97">
                  <c:v>-48.833595957656321</c:v>
                </c:pt>
                <c:pt idx="98">
                  <c:v>-51.327131467427094</c:v>
                </c:pt>
                <c:pt idx="99">
                  <c:v>-53.987514468301114</c:v>
                </c:pt>
                <c:pt idx="100">
                  <c:v>-56.75248115118923</c:v>
                </c:pt>
                <c:pt idx="101">
                  <c:v>-59.375816624564791</c:v>
                </c:pt>
                <c:pt idx="102">
                  <c:v>-61.303219199851149</c:v>
                </c:pt>
                <c:pt idx="103">
                  <c:v>-62.031883524848936</c:v>
                </c:pt>
                <c:pt idx="104">
                  <c:v>-61.816792487930179</c:v>
                </c:pt>
                <c:pt idx="105">
                  <c:v>-61.281100233125173</c:v>
                </c:pt>
                <c:pt idx="106">
                  <c:v>-60.787043678958341</c:v>
                </c:pt>
                <c:pt idx="107">
                  <c:v>-60.449201890812539</c:v>
                </c:pt>
                <c:pt idx="108">
                  <c:v>-60.281074348920967</c:v>
                </c:pt>
                <c:pt idx="109">
                  <c:v>-60.26623614230364</c:v>
                </c:pt>
                <c:pt idx="110">
                  <c:v>-60.382553335224813</c:v>
                </c:pt>
                <c:pt idx="111">
                  <c:v>-60.609248455841879</c:v>
                </c:pt>
                <c:pt idx="112">
                  <c:v>-60.92848802329258</c:v>
                </c:pt>
                <c:pt idx="113">
                  <c:v>-61.325357803630503</c:v>
                </c:pt>
                <c:pt idx="114">
                  <c:v>-61.787447325702516</c:v>
                </c:pt>
                <c:pt idx="115">
                  <c:v>-62.304409374836631</c:v>
                </c:pt>
                <c:pt idx="116">
                  <c:v>-62.867586859176619</c:v>
                </c:pt>
                <c:pt idx="117">
                  <c:v>-63.46971590563178</c:v>
                </c:pt>
                <c:pt idx="118">
                  <c:v>-64.104692345446267</c:v>
                </c:pt>
                <c:pt idx="119">
                  <c:v>-64.7673864179215</c:v>
                </c:pt>
                <c:pt idx="120">
                  <c:v>-65.453493363509978</c:v>
                </c:pt>
                <c:pt idx="121">
                  <c:v>-66.159411022574815</c:v>
                </c:pt>
                <c:pt idx="122">
                  <c:v>-66.88213833881403</c:v>
                </c:pt>
                <c:pt idx="123">
                  <c:v>-67.619190622951038</c:v>
                </c:pt>
                <c:pt idx="124">
                  <c:v>-68.36852871741533</c:v>
                </c:pt>
                <c:pt idx="125">
                  <c:v>-69.128500018626383</c:v>
                </c:pt>
                <c:pt idx="126">
                  <c:v>-69.89778982739216</c:v>
                </c:pt>
                <c:pt idx="127">
                  <c:v>-70.675381827087577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A2-473F-B8FF-9A3227192C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961376"/>
        <c:axId val="346959416"/>
      </c:scatterChart>
      <c:valAx>
        <c:axId val="346961376"/>
        <c:scaling>
          <c:logBase val="10"/>
          <c:orientation val="minMax"/>
          <c:max val="10000000"/>
          <c:min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tint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latin typeface="Times New Roman" pitchFamily="18" charset="0"/>
                    <a:cs typeface="Times New Roman" pitchFamily="18" charset="0"/>
                  </a:rPr>
                  <a:t>Frequency (kHz)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n-US"/>
          </a:p>
        </c:txPr>
        <c:crossAx val="346959416"/>
        <c:crossesAt val="-80"/>
        <c:crossBetween val="midCat"/>
        <c:dispUnits>
          <c:builtInUnit val="thousands"/>
        </c:dispUnits>
      </c:valAx>
      <c:valAx>
        <c:axId val="346959416"/>
        <c:scaling>
          <c:orientation val="minMax"/>
          <c:max val="20"/>
          <c:min val="-80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r>
                  <a:rPr lang="en-US" sz="1200">
                    <a:latin typeface="Times New Roman" pitchFamily="18" charset="0"/>
                    <a:cs typeface="Times New Roman" pitchFamily="18" charset="0"/>
                  </a:rPr>
                  <a:t>Magnitude (dB)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n-US"/>
          </a:p>
        </c:txPr>
        <c:crossAx val="346961376"/>
        <c:crosses val="autoZero"/>
        <c:crossBetween val="midCat"/>
      </c:valAx>
      <c:spPr>
        <a:solidFill>
          <a:schemeClr val="bg1"/>
        </a:solidFill>
        <a:ln w="25400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10932169438875583"/>
          <c:y val="0.36941391461820772"/>
          <c:w val="0.12441516792151854"/>
          <c:h val="0.43841668599049344"/>
        </c:manualLayout>
      </c:layout>
      <c:overlay val="0"/>
      <c:spPr>
        <a:solidFill>
          <a:schemeClr val="bg1"/>
        </a:solidFill>
      </c:spPr>
      <c:txPr>
        <a:bodyPr/>
        <a:lstStyle/>
        <a:p>
          <a:pPr>
            <a:defRPr sz="1200" baseline="0"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Plant Phase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164399468059188"/>
          <c:y val="0.10049381467091141"/>
          <c:w val="0.85219821228144665"/>
          <c:h val="0.78514813448113763"/>
        </c:manualLayout>
      </c:layout>
      <c:scatterChart>
        <c:scatterStyle val="smoothMarker"/>
        <c:varyColors val="0"/>
        <c:ser>
          <c:idx val="0"/>
          <c:order val="0"/>
          <c:tx>
            <c:v>5V0, 150A, 400k, 4ph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Bode_Plot!$BV$50:$BV$177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Bode_Plot!$BX$50:$BX$177</c:f>
              <c:numCache>
                <c:formatCode>General</c:formatCode>
                <c:ptCount val="128"/>
                <c:pt idx="0">
                  <c:v>-5.407256792122786E-2</c:v>
                </c:pt>
                <c:pt idx="1">
                  <c:v>-0.27100499901012381</c:v>
                </c:pt>
                <c:pt idx="2">
                  <c:v>-0.54072724895293511</c:v>
                </c:pt>
                <c:pt idx="3">
                  <c:v>-0.59289599011127403</c:v>
                </c:pt>
                <c:pt idx="4">
                  <c:v>-0.65009798916425932</c:v>
                </c:pt>
                <c:pt idx="5">
                  <c:v>-0.71281888132982252</c:v>
                </c:pt>
                <c:pt idx="6">
                  <c:v>-0.78159116634488279</c:v>
                </c:pt>
                <c:pt idx="7">
                  <c:v>-0.85699873346104571</c:v>
                </c:pt>
                <c:pt idx="8">
                  <c:v>-0.93968182414253942</c:v>
                </c:pt>
                <c:pt idx="9">
                  <c:v>-1.0303424750544923</c:v>
                </c:pt>
                <c:pt idx="10">
                  <c:v>-1.129750488152041</c:v>
                </c:pt>
                <c:pt idx="11">
                  <c:v>-1.2387499793445398</c:v>
                </c:pt>
                <c:pt idx="12">
                  <c:v>-1.358266562369596</c:v>
                </c:pt>
                <c:pt idx="13">
                  <c:v>-1.4893152302279951</c:v>
                </c:pt>
                <c:pt idx="14">
                  <c:v>-1.6330090028772368</c:v>
                </c:pt>
                <c:pt idx="15">
                  <c:v>-1.7905684169378875</c:v>
                </c:pt>
                <c:pt idx="16">
                  <c:v>-1.9633319410342072</c:v>
                </c:pt>
                <c:pt idx="17">
                  <c:v>-2.1527674091772444</c:v>
                </c:pt>
                <c:pt idx="18">
                  <c:v>-2.3604845744448597</c:v>
                </c:pt>
                <c:pt idx="19">
                  <c:v>-2.588248896262908</c:v>
                </c:pt>
                <c:pt idx="20">
                  <c:v>-2.8379966870363398</c:v>
                </c:pt>
                <c:pt idx="21">
                  <c:v>-3.1118517579138341</c:v>
                </c:pt>
                <c:pt idx="22">
                  <c:v>-3.4121437193219917</c:v>
                </c:pt>
                <c:pt idx="23">
                  <c:v>-3.741428109827087</c:v>
                </c:pt>
                <c:pt idx="24">
                  <c:v>-4.1025085471029774</c:v>
                </c:pt>
                <c:pt idx="25">
                  <c:v>-4.498461117516058</c:v>
                </c:pt>
                <c:pt idx="26">
                  <c:v>-4.9326612461834269</c:v>
                </c:pt>
                <c:pt idx="27">
                  <c:v>-5.4088133172045616</c:v>
                </c:pt>
                <c:pt idx="28">
                  <c:v>-5.930983343589511</c:v>
                </c:pt>
                <c:pt idx="29">
                  <c:v>-6.5036350169553501</c:v>
                </c:pt>
                <c:pt idx="30">
                  <c:v>-7.1316694958091897</c:v>
                </c:pt>
                <c:pt idx="31">
                  <c:v>-7.8204693135384771</c:v>
                </c:pt>
                <c:pt idx="32">
                  <c:v>-8.5759467949413288</c:v>
                </c:pt>
                <c:pt idx="33">
                  <c:v>-9.4045973494358002</c:v>
                </c:pt>
                <c:pt idx="34">
                  <c:v>-10.31355793718811</c:v>
                </c:pt>
                <c:pt idx="35">
                  <c:v>-11.310670844306106</c:v>
                </c:pt>
                <c:pt idx="36">
                  <c:v>-12.404552596121134</c:v>
                </c:pt>
                <c:pt idx="37">
                  <c:v>-13.604667291380864</c:v>
                </c:pt>
                <c:pt idx="38">
                  <c:v>-14.921402713421557</c:v>
                </c:pt>
                <c:pt idx="39">
                  <c:v>-16.366146054302043</c:v>
                </c:pt>
                <c:pt idx="40">
                  <c:v>-17.951353662386101</c:v>
                </c:pt>
                <c:pt idx="41">
                  <c:v>-19.690605450911526</c:v>
                </c:pt>
                <c:pt idx="42">
                  <c:v>-21.598628888659171</c:v>
                </c:pt>
                <c:pt idx="43">
                  <c:v>-23.691269090658214</c:v>
                </c:pt>
                <c:pt idx="44">
                  <c:v>-25.985369634616308</c:v>
                </c:pt>
                <c:pt idx="45">
                  <c:v>-28.498512750868393</c:v>
                </c:pt>
                <c:pt idx="46">
                  <c:v>-31.248547680103034</c:v>
                </c:pt>
                <c:pt idx="47">
                  <c:v>-34.252814437047171</c:v>
                </c:pt>
                <c:pt idx="48">
                  <c:v>-37.526953007600923</c:v>
                </c:pt>
                <c:pt idx="49">
                  <c:v>-41.083187625989126</c:v>
                </c:pt>
                <c:pt idx="50">
                  <c:v>-44.928013311499257</c:v>
                </c:pt>
                <c:pt idx="51">
                  <c:v>-49.059315743685744</c:v>
                </c:pt>
                <c:pt idx="52">
                  <c:v>-53.463151469621131</c:v>
                </c:pt>
                <c:pt idx="53">
                  <c:v>-58.110701207378334</c:v>
                </c:pt>
                <c:pt idx="54">
                  <c:v>-62.956217262088565</c:v>
                </c:pt>
                <c:pt idx="55">
                  <c:v>-67.936959539913659</c:v>
                </c:pt>
                <c:pt idx="56">
                  <c:v>-72.975945057990756</c:v>
                </c:pt>
                <c:pt idx="57">
                  <c:v>-77.987701849724161</c:v>
                </c:pt>
                <c:pt idx="58">
                  <c:v>-82.886259311465892</c:v>
                </c:pt>
                <c:pt idx="59">
                  <c:v>-87.593753294989753</c:v>
                </c:pt>
                <c:pt idx="60">
                  <c:v>-92.047752976858035</c:v>
                </c:pt>
                <c:pt idx="61">
                  <c:v>-96.205889406138851</c:v>
                </c:pt>
                <c:pt idx="62">
                  <c:v>-100.04729546716813</c:v>
                </c:pt>
                <c:pt idx="63">
                  <c:v>-103.57125566381679</c:v>
                </c:pt>
                <c:pt idx="64">
                  <c:v>-106.79396203567028</c:v>
                </c:pt>
                <c:pt idx="65">
                  <c:v>-109.7443357064199</c:v>
                </c:pt>
                <c:pt idx="66">
                  <c:v>-112.45966672975403</c:v>
                </c:pt>
                <c:pt idx="67">
                  <c:v>-114.98154386413349</c:v>
                </c:pt>
                <c:pt idx="68">
                  <c:v>-117.35231203608632</c:v>
                </c:pt>
                <c:pt idx="69">
                  <c:v>-119.61214499733889</c:v>
                </c:pt>
                <c:pt idx="70">
                  <c:v>-121.79674094519133</c:v>
                </c:pt>
                <c:pt idx="71">
                  <c:v>-123.93561252900197</c:v>
                </c:pt>
                <c:pt idx="72">
                  <c:v>-126.05092728013862</c:v>
                </c:pt>
                <c:pt idx="73">
                  <c:v>-128.15684655940609</c:v>
                </c:pt>
                <c:pt idx="74">
                  <c:v>-130.259303400297</c:v>
                </c:pt>
                <c:pt idx="75">
                  <c:v>-132.35614779302321</c:v>
                </c:pt>
                <c:pt idx="76">
                  <c:v>-134.4375688530618</c:v>
                </c:pt>
                <c:pt idx="77">
                  <c:v>-136.48667501177155</c:v>
                </c:pt>
                <c:pt idx="78">
                  <c:v>-138.4800754230811</c:v>
                </c:pt>
                <c:pt idx="79">
                  <c:v>-140.38825827898557</c:v>
                </c:pt>
                <c:pt idx="80">
                  <c:v>-142.17550207069419</c:v>
                </c:pt>
                <c:pt idx="81">
                  <c:v>-143.79897323339912</c:v>
                </c:pt>
                <c:pt idx="82">
                  <c:v>-145.20653121596976</c:v>
                </c:pt>
                <c:pt idx="83">
                  <c:v>-146.33252535046705</c:v>
                </c:pt>
                <c:pt idx="84">
                  <c:v>-147.09042568741975</c:v>
                </c:pt>
                <c:pt idx="85">
                  <c:v>-147.36030182470913</c:v>
                </c:pt>
                <c:pt idx="86">
                  <c:v>-146.967652901104</c:v>
                </c:pt>
                <c:pt idx="87">
                  <c:v>-145.64755434977963</c:v>
                </c:pt>
                <c:pt idx="88">
                  <c:v>-142.98498721539232</c:v>
                </c:pt>
                <c:pt idx="89">
                  <c:v>-138.32490785184453</c:v>
                </c:pt>
                <c:pt idx="90">
                  <c:v>-130.68971231977619</c:v>
                </c:pt>
                <c:pt idx="91">
                  <c:v>-118.95672516039306</c:v>
                </c:pt>
                <c:pt idx="92">
                  <c:v>-103.00250958886866</c:v>
                </c:pt>
                <c:pt idx="93">
                  <c:v>-111.30876469398449</c:v>
                </c:pt>
                <c:pt idx="94">
                  <c:v>-128.53306887375058</c:v>
                </c:pt>
                <c:pt idx="95">
                  <c:v>-141.45769326782494</c:v>
                </c:pt>
                <c:pt idx="96">
                  <c:v>-150.74709240143605</c:v>
                </c:pt>
                <c:pt idx="97">
                  <c:v>-157.56076480497879</c:v>
                </c:pt>
                <c:pt idx="98">
                  <c:v>-162.79614669134838</c:v>
                </c:pt>
                <c:pt idx="99">
                  <c:v>-167.04441402872379</c:v>
                </c:pt>
                <c:pt idx="100">
                  <c:v>-170.68514455800164</c:v>
                </c:pt>
                <c:pt idx="101">
                  <c:v>-173.96551632007453</c:v>
                </c:pt>
                <c:pt idx="102">
                  <c:v>-177.04975374487907</c:v>
                </c:pt>
                <c:pt idx="103">
                  <c:v>-179.95202424727398</c:v>
                </c:pt>
                <c:pt idx="104">
                  <c:v>-176.96708534754333</c:v>
                </c:pt>
                <c:pt idx="105">
                  <c:v>-173.9501591751382</c:v>
                </c:pt>
                <c:pt idx="106">
                  <c:v>-170.87720524300317</c:v>
                </c:pt>
                <c:pt idx="107">
                  <c:v>-167.74110715514138</c:v>
                </c:pt>
                <c:pt idx="108">
                  <c:v>-164.54830889697666</c:v>
                </c:pt>
                <c:pt idx="109">
                  <c:v>-161.31587793227513</c:v>
                </c:pt>
                <c:pt idx="110">
                  <c:v>-158.06876655618359</c:v>
                </c:pt>
                <c:pt idx="111">
                  <c:v>-154.83721579455505</c:v>
                </c:pt>
                <c:pt idx="112">
                  <c:v>-151.65434189978228</c:v>
                </c:pt>
                <c:pt idx="113">
                  <c:v>-148.55398657843082</c:v>
                </c:pt>
                <c:pt idx="114">
                  <c:v>-145.56891456216928</c:v>
                </c:pt>
                <c:pt idx="115">
                  <c:v>-142.72941926257121</c:v>
                </c:pt>
                <c:pt idx="116">
                  <c:v>-140.06236081677878</c:v>
                </c:pt>
                <c:pt idx="117">
                  <c:v>-137.59062122300534</c:v>
                </c:pt>
                <c:pt idx="118">
                  <c:v>-135.33292680433544</c:v>
                </c:pt>
                <c:pt idx="119">
                  <c:v>-133.30396432526209</c:v>
                </c:pt>
                <c:pt idx="120">
                  <c:v>-131.51470576301307</c:v>
                </c:pt>
                <c:pt idx="121">
                  <c:v>-129.9728570374229</c:v>
                </c:pt>
                <c:pt idx="122">
                  <c:v>-128.68335496212984</c:v>
                </c:pt>
                <c:pt idx="123">
                  <c:v>-127.64885059852897</c:v>
                </c:pt>
                <c:pt idx="124">
                  <c:v>-126.87013272178066</c:v>
                </c:pt>
                <c:pt idx="125">
                  <c:v>-126.34645987993541</c:v>
                </c:pt>
                <c:pt idx="126">
                  <c:v>-126.07578234285653</c:v>
                </c:pt>
                <c:pt idx="127">
                  <c:v>-126.05484591708465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401-4B5D-97C2-9FEE362C993E}"/>
            </c:ext>
          </c:extLst>
        </c:ser>
        <c:ser>
          <c:idx val="1"/>
          <c:order val="1"/>
          <c:tx>
            <c:v>simplis</c:v>
          </c:tx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xVal>
            <c:numRef>
              <c:f>Bode_Plot!$BS$50:$BS$150</c:f>
              <c:numCache>
                <c:formatCode>General</c:formatCode>
                <c:ptCount val="101"/>
                <c:pt idx="0">
                  <c:v>100</c:v>
                </c:pt>
                <c:pt idx="1">
                  <c:v>109.647819614318</c:v>
                </c:pt>
                <c:pt idx="2">
                  <c:v>120.226443461741</c:v>
                </c:pt>
                <c:pt idx="3">
                  <c:v>131.82567385563999</c:v>
                </c:pt>
                <c:pt idx="4">
                  <c:v>144.54397707459199</c:v>
                </c:pt>
                <c:pt idx="5">
                  <c:v>158.48931924611099</c:v>
                </c:pt>
                <c:pt idx="6">
                  <c:v>173.78008287493699</c:v>
                </c:pt>
                <c:pt idx="7">
                  <c:v>190.54607179632399</c:v>
                </c:pt>
                <c:pt idx="8">
                  <c:v>208.92961308540299</c:v>
                </c:pt>
                <c:pt idx="9">
                  <c:v>229.08676527677699</c:v>
                </c:pt>
                <c:pt idx="10">
                  <c:v>251.188643150958</c:v>
                </c:pt>
                <c:pt idx="11">
                  <c:v>275.42287033381598</c:v>
                </c:pt>
                <c:pt idx="12">
                  <c:v>301.995172040201</c:v>
                </c:pt>
                <c:pt idx="13">
                  <c:v>331.13112148259103</c:v>
                </c:pt>
                <c:pt idx="14">
                  <c:v>363.07805477010101</c:v>
                </c:pt>
                <c:pt idx="15">
                  <c:v>398.10717055349699</c:v>
                </c:pt>
                <c:pt idx="16">
                  <c:v>436.51583224016503</c:v>
                </c:pt>
                <c:pt idx="17">
                  <c:v>478.63009232263801</c:v>
                </c:pt>
                <c:pt idx="18">
                  <c:v>524.80746024977202</c:v>
                </c:pt>
                <c:pt idx="19">
                  <c:v>575.43993733715604</c:v>
                </c:pt>
                <c:pt idx="20">
                  <c:v>630.957344480193</c:v>
                </c:pt>
                <c:pt idx="21">
                  <c:v>691.83097091893603</c:v>
                </c:pt>
                <c:pt idx="22">
                  <c:v>758.57757502918298</c:v>
                </c:pt>
                <c:pt idx="23">
                  <c:v>831.76377110267094</c:v>
                </c:pt>
                <c:pt idx="24">
                  <c:v>912.01083935590896</c:v>
                </c:pt>
                <c:pt idx="25">
                  <c:v>1000</c:v>
                </c:pt>
                <c:pt idx="26">
                  <c:v>1096.47819614318</c:v>
                </c:pt>
                <c:pt idx="27">
                  <c:v>1202.26443461741</c:v>
                </c:pt>
                <c:pt idx="28">
                  <c:v>1318.2567385564</c:v>
                </c:pt>
                <c:pt idx="29">
                  <c:v>1445.43977074592</c:v>
                </c:pt>
                <c:pt idx="30">
                  <c:v>1584.8931924611099</c:v>
                </c:pt>
                <c:pt idx="31">
                  <c:v>1737.8008287493701</c:v>
                </c:pt>
                <c:pt idx="32">
                  <c:v>1905.4607179632401</c:v>
                </c:pt>
                <c:pt idx="33">
                  <c:v>2089.2961308540298</c:v>
                </c:pt>
                <c:pt idx="34">
                  <c:v>2290.8676527677699</c:v>
                </c:pt>
                <c:pt idx="35">
                  <c:v>2511.8864315095698</c:v>
                </c:pt>
                <c:pt idx="36">
                  <c:v>2754.2287033381599</c:v>
                </c:pt>
                <c:pt idx="37">
                  <c:v>3019.9517204020099</c:v>
                </c:pt>
                <c:pt idx="38">
                  <c:v>3311.3112148259102</c:v>
                </c:pt>
                <c:pt idx="39">
                  <c:v>3630.7805477010102</c:v>
                </c:pt>
                <c:pt idx="40">
                  <c:v>3981.0717055349701</c:v>
                </c:pt>
                <c:pt idx="41">
                  <c:v>4365.1583224016504</c:v>
                </c:pt>
                <c:pt idx="42">
                  <c:v>4786.3009232263803</c:v>
                </c:pt>
                <c:pt idx="43">
                  <c:v>5248.0746024977198</c:v>
                </c:pt>
                <c:pt idx="44">
                  <c:v>5754.3993733715597</c:v>
                </c:pt>
                <c:pt idx="45">
                  <c:v>6309.5734448019302</c:v>
                </c:pt>
                <c:pt idx="46">
                  <c:v>6918.3097091893596</c:v>
                </c:pt>
                <c:pt idx="47">
                  <c:v>7585.7757502918303</c:v>
                </c:pt>
                <c:pt idx="48">
                  <c:v>8317.6377110267003</c:v>
                </c:pt>
                <c:pt idx="49">
                  <c:v>9120.1083935590905</c:v>
                </c:pt>
                <c:pt idx="50">
                  <c:v>10000</c:v>
                </c:pt>
                <c:pt idx="51">
                  <c:v>10964.7819614318</c:v>
                </c:pt>
                <c:pt idx="52">
                  <c:v>12022.6443461741</c:v>
                </c:pt>
                <c:pt idx="53">
                  <c:v>13182.567385564</c:v>
                </c:pt>
                <c:pt idx="54">
                  <c:v>14454.3977074592</c:v>
                </c:pt>
                <c:pt idx="55">
                  <c:v>15848.931924611101</c:v>
                </c:pt>
                <c:pt idx="56">
                  <c:v>17378.0082874937</c:v>
                </c:pt>
                <c:pt idx="57">
                  <c:v>19054.607179632399</c:v>
                </c:pt>
                <c:pt idx="58">
                  <c:v>20892.9613085403</c:v>
                </c:pt>
                <c:pt idx="59">
                  <c:v>22908.676527677701</c:v>
                </c:pt>
                <c:pt idx="60">
                  <c:v>25118.8643150957</c:v>
                </c:pt>
                <c:pt idx="61">
                  <c:v>27542.287033381599</c:v>
                </c:pt>
                <c:pt idx="62">
                  <c:v>30199.5172040201</c:v>
                </c:pt>
                <c:pt idx="63">
                  <c:v>33113.112148259097</c:v>
                </c:pt>
                <c:pt idx="64">
                  <c:v>36307.805477010101</c:v>
                </c:pt>
                <c:pt idx="65">
                  <c:v>39810.717055349698</c:v>
                </c:pt>
                <c:pt idx="66">
                  <c:v>43651.583224016598</c:v>
                </c:pt>
                <c:pt idx="67">
                  <c:v>47863.009232263801</c:v>
                </c:pt>
                <c:pt idx="68">
                  <c:v>52480.746024977198</c:v>
                </c:pt>
                <c:pt idx="69">
                  <c:v>57543.993733715601</c:v>
                </c:pt>
                <c:pt idx="70">
                  <c:v>63095.734448019197</c:v>
                </c:pt>
                <c:pt idx="71">
                  <c:v>69183.097091893593</c:v>
                </c:pt>
                <c:pt idx="72">
                  <c:v>75857.757502918306</c:v>
                </c:pt>
                <c:pt idx="73">
                  <c:v>83176.377110267</c:v>
                </c:pt>
                <c:pt idx="74">
                  <c:v>91201.083935590897</c:v>
                </c:pt>
                <c:pt idx="75">
                  <c:v>100000</c:v>
                </c:pt>
                <c:pt idx="76">
                  <c:v>109647.819614318</c:v>
                </c:pt>
                <c:pt idx="77">
                  <c:v>120226.443461741</c:v>
                </c:pt>
                <c:pt idx="78">
                  <c:v>131825.67385563999</c:v>
                </c:pt>
                <c:pt idx="79">
                  <c:v>144543.977074592</c:v>
                </c:pt>
                <c:pt idx="80">
                  <c:v>158489.319246111</c:v>
                </c:pt>
                <c:pt idx="81">
                  <c:v>173780.08287493701</c:v>
                </c:pt>
                <c:pt idx="82">
                  <c:v>190546.07179632399</c:v>
                </c:pt>
                <c:pt idx="83">
                  <c:v>208929.61308540299</c:v>
                </c:pt>
                <c:pt idx="84">
                  <c:v>229086.76527677701</c:v>
                </c:pt>
                <c:pt idx="85">
                  <c:v>251188.64315095701</c:v>
                </c:pt>
                <c:pt idx="86">
                  <c:v>275422.87033381598</c:v>
                </c:pt>
                <c:pt idx="87">
                  <c:v>301995.17204020103</c:v>
                </c:pt>
                <c:pt idx="88">
                  <c:v>331131.12148259103</c:v>
                </c:pt>
                <c:pt idx="89">
                  <c:v>363078.05477010098</c:v>
                </c:pt>
                <c:pt idx="90">
                  <c:v>398107.17055349698</c:v>
                </c:pt>
                <c:pt idx="91">
                  <c:v>436515.83224016603</c:v>
                </c:pt>
                <c:pt idx="92">
                  <c:v>478630.09232263803</c:v>
                </c:pt>
                <c:pt idx="93">
                  <c:v>524807.46024977195</c:v>
                </c:pt>
                <c:pt idx="94">
                  <c:v>575439.93733715604</c:v>
                </c:pt>
                <c:pt idx="95">
                  <c:v>630957.34448019206</c:v>
                </c:pt>
                <c:pt idx="96">
                  <c:v>691830.97091893596</c:v>
                </c:pt>
                <c:pt idx="97">
                  <c:v>758577.57502918295</c:v>
                </c:pt>
                <c:pt idx="98">
                  <c:v>831763.77110267</c:v>
                </c:pt>
                <c:pt idx="99">
                  <c:v>912010.83935590903</c:v>
                </c:pt>
                <c:pt idx="100">
                  <c:v>1000000</c:v>
                </c:pt>
              </c:numCache>
            </c:numRef>
          </c:xVal>
          <c:yVal>
            <c:numRef>
              <c:f>Bode_Plot!$BU$50:$BU$150</c:f>
              <c:numCache>
                <c:formatCode>General</c:formatCode>
                <c:ptCount val="101"/>
                <c:pt idx="0">
                  <c:v>-0.55325926188929297</c:v>
                </c:pt>
                <c:pt idx="1">
                  <c:v>-0.60663671718905798</c:v>
                </c:pt>
                <c:pt idx="2">
                  <c:v>-0.66516393296745502</c:v>
                </c:pt>
                <c:pt idx="3">
                  <c:v>-0.72933774876775603</c:v>
                </c:pt>
                <c:pt idx="4">
                  <c:v>-0.79970293828719796</c:v>
                </c:pt>
                <c:pt idx="5">
                  <c:v>-0.87685683396074399</c:v>
                </c:pt>
                <c:pt idx="6">
                  <c:v>-0.96145439770940799</c:v>
                </c:pt>
                <c:pt idx="7">
                  <c:v>-1.0542137808911201</c:v>
                </c:pt>
                <c:pt idx="8">
                  <c:v>-1.15592242064252</c:v>
                </c:pt>
                <c:pt idx="9">
                  <c:v>-1.26744372435234</c:v>
                </c:pt>
                <c:pt idx="10">
                  <c:v>-1.38972439898708</c:v>
                </c:pt>
                <c:pt idx="11">
                  <c:v>-1.5238024874495399</c:v>
                </c:pt>
                <c:pt idx="12">
                  <c:v>-1.67081618014293</c:v>
                </c:pt>
                <c:pt idx="13">
                  <c:v>-1.8320134764412901</c:v>
                </c:pt>
                <c:pt idx="14">
                  <c:v>-2.0087627779533999</c:v>
                </c:pt>
                <c:pt idx="15">
                  <c:v>-2.2025645032775398</c:v>
                </c:pt>
                <c:pt idx="16">
                  <c:v>-2.4150638224958501</c:v>
                </c:pt>
                <c:pt idx="17">
                  <c:v>-2.6480646189558601</c:v>
                </c:pt>
                <c:pt idx="18">
                  <c:v>-2.9035447959826199</c:v>
                </c:pt>
                <c:pt idx="19">
                  <c:v>-3.1836730570629101</c:v>
                </c:pt>
                <c:pt idx="20">
                  <c:v>-3.4908272997587302</c:v>
                </c:pt>
                <c:pt idx="21">
                  <c:v>-3.8276147760053099</c:v>
                </c:pt>
                <c:pt idx="22">
                  <c:v>-4.1968941844460499</c:v>
                </c:pt>
                <c:pt idx="23">
                  <c:v>-4.6017998736385204</c:v>
                </c:pt>
                <c:pt idx="24">
                  <c:v>-5.0457683478620403</c:v>
                </c:pt>
                <c:pt idx="25">
                  <c:v>-5.5325672788632101</c:v>
                </c:pt>
                <c:pt idx="26">
                  <c:v>-6.0663272355666003</c:v>
                </c:pt>
                <c:pt idx="27">
                  <c:v>-6.6515763471900504</c:v>
                </c:pt>
                <c:pt idx="28">
                  <c:v>-7.2932781090425696</c:v>
                </c:pt>
                <c:pt idx="29">
                  <c:v>-7.9968725182715197</c:v>
                </c:pt>
                <c:pt idx="30">
                  <c:v>-8.7683206788945096</c:v>
                </c:pt>
                <c:pt idx="31">
                  <c:v>-9.6141529257256106</c:v>
                </c:pt>
                <c:pt idx="32">
                  <c:v>-10.541520361105</c:v>
                </c:pt>
                <c:pt idx="33">
                  <c:v>-11.558249439443101</c:v>
                </c:pt>
                <c:pt idx="34">
                  <c:v>-12.6728988157389</c:v>
                </c:pt>
                <c:pt idx="35">
                  <c:v>-13.8948170109245</c:v>
                </c:pt>
                <c:pt idx="36">
                  <c:v>-15.2341984135827</c:v>
                </c:pt>
                <c:pt idx="37">
                  <c:v>-16.7021335535932</c:v>
                </c:pt>
                <c:pt idx="38">
                  <c:v>-18.310647193769199</c:v>
                </c:pt>
                <c:pt idx="39">
                  <c:v>-20.0727142470048</c:v>
                </c:pt>
                <c:pt idx="40">
                  <c:v>-22.002238403688398</c:v>
                </c:pt>
                <c:pt idx="41">
                  <c:v>-24.113971150352899</c:v>
                </c:pt>
                <c:pt idx="42">
                  <c:v>-26.4233391314534</c:v>
                </c:pt>
                <c:pt idx="43">
                  <c:v>-28.9461354139859</c:v>
                </c:pt>
                <c:pt idx="44">
                  <c:v>-31.698015854349102</c:v>
                </c:pt>
                <c:pt idx="45">
                  <c:v>-34.693727865662801</c:v>
                </c:pt>
                <c:pt idx="46">
                  <c:v>-37.945990948229102</c:v>
                </c:pt>
                <c:pt idx="47">
                  <c:v>-41.463956512130103</c:v>
                </c:pt>
                <c:pt idx="48">
                  <c:v>-45.251214358018302</c:v>
                </c:pt>
                <c:pt idx="49">
                  <c:v>-49.303403567350699</c:v>
                </c:pt>
                <c:pt idx="50">
                  <c:v>-53.605640199662098</c:v>
                </c:pt>
                <c:pt idx="51">
                  <c:v>-58.130184180107399</c:v>
                </c:pt>
                <c:pt idx="52">
                  <c:v>-62.8349787270474</c:v>
                </c:pt>
                <c:pt idx="53">
                  <c:v>-67.663797109478693</c:v>
                </c:pt>
                <c:pt idx="54">
                  <c:v>-72.548587821223705</c:v>
                </c:pt>
                <c:pt idx="55">
                  <c:v>-77.414148424218894</c:v>
                </c:pt>
                <c:pt idx="56">
                  <c:v>-82.1845764005474</c:v>
                </c:pt>
                <c:pt idx="57">
                  <c:v>-86.790322285977396</c:v>
                </c:pt>
                <c:pt idx="58">
                  <c:v>-91.174425149664103</c:v>
                </c:pt>
                <c:pt idx="59">
                  <c:v>-95.296777946525495</c:v>
                </c:pt>
                <c:pt idx="60">
                  <c:v>-99.135898137611406</c:v>
                </c:pt>
                <c:pt idx="61">
                  <c:v>-102.68834718008701</c:v>
                </c:pt>
                <c:pt idx="62">
                  <c:v>-105.966386080199</c:v>
                </c:pt>
                <c:pt idx="63">
                  <c:v>-108.994593957135</c:v>
                </c:pt>
                <c:pt idx="64">
                  <c:v>-111.80609074773901</c:v>
                </c:pt>
                <c:pt idx="65">
                  <c:v>-114.438823407181</c:v>
                </c:pt>
                <c:pt idx="66">
                  <c:v>-116.932195579216</c:v>
                </c:pt>
                <c:pt idx="67">
                  <c:v>-119.32418698168</c:v>
                </c:pt>
                <c:pt idx="68">
                  <c:v>-121.64902385869701</c:v>
                </c:pt>
                <c:pt idx="69">
                  <c:v>-123.93541236708499</c:v>
                </c:pt>
                <c:pt idx="70">
                  <c:v>-126.205318154289</c:v>
                </c:pt>
                <c:pt idx="71">
                  <c:v>-128.47325735015099</c:v>
                </c:pt>
                <c:pt idx="72">
                  <c:v>-130.75207479374501</c:v>
                </c:pt>
                <c:pt idx="73">
                  <c:v>-133.02770194992101</c:v>
                </c:pt>
                <c:pt idx="74">
                  <c:v>-135.299128349819</c:v>
                </c:pt>
                <c:pt idx="75">
                  <c:v>-137.552022403553</c:v>
                </c:pt>
                <c:pt idx="76">
                  <c:v>-139.75866274543799</c:v>
                </c:pt>
                <c:pt idx="77">
                  <c:v>-141.90776022453599</c:v>
                </c:pt>
                <c:pt idx="78">
                  <c:v>-143.962790308758</c:v>
                </c:pt>
                <c:pt idx="79">
                  <c:v>-145.87953128220801</c:v>
                </c:pt>
                <c:pt idx="80">
                  <c:v>-147.63213565982699</c:v>
                </c:pt>
                <c:pt idx="81">
                  <c:v>-149.16229344925401</c:v>
                </c:pt>
                <c:pt idx="82">
                  <c:v>-150.440954761738</c:v>
                </c:pt>
                <c:pt idx="83">
                  <c:v>-151.32144548033901</c:v>
                </c:pt>
                <c:pt idx="84">
                  <c:v>-151.729101874609</c:v>
                </c:pt>
                <c:pt idx="85">
                  <c:v>-151.459902703518</c:v>
                </c:pt>
                <c:pt idx="86">
                  <c:v>-150.317381817111</c:v>
                </c:pt>
                <c:pt idx="87">
                  <c:v>-148.042705390322</c:v>
                </c:pt>
                <c:pt idx="88">
                  <c:v>-144.81849087772301</c:v>
                </c:pt>
                <c:pt idx="89">
                  <c:v>-144.409391470261</c:v>
                </c:pt>
                <c:pt idx="90">
                  <c:v>-169.00298984738001</c:v>
                </c:pt>
                <c:pt idx="91">
                  <c:v>-58.358522637589601</c:v>
                </c:pt>
                <c:pt idx="92">
                  <c:v>-58.284424209213597</c:v>
                </c:pt>
                <c:pt idx="93">
                  <c:v>-53.719813180025902</c:v>
                </c:pt>
                <c:pt idx="94">
                  <c:v>-50.743327656056401</c:v>
                </c:pt>
                <c:pt idx="95">
                  <c:v>-50.197941927054103</c:v>
                </c:pt>
                <c:pt idx="96">
                  <c:v>-52.883451504318103</c:v>
                </c:pt>
                <c:pt idx="97">
                  <c:v>-66.2566359695317</c:v>
                </c:pt>
                <c:pt idx="98">
                  <c:v>-13.5868763343744</c:v>
                </c:pt>
                <c:pt idx="99">
                  <c:v>-38.0301823242702</c:v>
                </c:pt>
                <c:pt idx="100">
                  <c:v>-45.392968037907004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401-4B5D-97C2-9FEE362C993E}"/>
            </c:ext>
          </c:extLst>
        </c:ser>
        <c:ser>
          <c:idx val="2"/>
          <c:order val="2"/>
          <c:tx>
            <c:v>1V2, 30A, 800k, 1ph</c:v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Bode_Plot!$CC$50:$CC$177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Bode_Plot!$CE$50:$CE$177</c:f>
              <c:numCache>
                <c:formatCode>General</c:formatCode>
                <c:ptCount val="128"/>
                <c:pt idx="0">
                  <c:v>-8.6227794160076282E-2</c:v>
                </c:pt>
                <c:pt idx="1">
                  <c:v>-0.43215590413914079</c:v>
                </c:pt>
                <c:pt idx="2">
                  <c:v>-0.86222232072148053</c:v>
                </c:pt>
                <c:pt idx="3">
                  <c:v>-0.94539551661008381</c:v>
                </c:pt>
                <c:pt idx="4">
                  <c:v>-1.0365891483720282</c:v>
                </c:pt>
                <c:pt idx="5">
                  <c:v>-1.1365757521391056</c:v>
                </c:pt>
                <c:pt idx="6">
                  <c:v>-1.2462019959047859</c:v>
                </c:pt>
                <c:pt idx="7">
                  <c:v>-1.3663957041817174</c:v>
                </c:pt>
                <c:pt idx="8">
                  <c:v>-1.4981735199287445</c:v>
                </c:pt>
                <c:pt idx="9">
                  <c:v>-1.6426492524155769</c:v>
                </c:pt>
                <c:pt idx="10">
                  <c:v>-1.8010429603465969</c:v>
                </c:pt>
                <c:pt idx="11">
                  <c:v>-1.9746908190156927</c:v>
                </c:pt>
                <c:pt idx="12">
                  <c:v>-2.1650558180045709</c:v>
                </c:pt>
                <c:pt idx="13">
                  <c:v>-2.3737393312965218</c:v>
                </c:pt>
                <c:pt idx="14">
                  <c:v>-2.6024935937650864</c:v>
                </c:pt>
                <c:pt idx="15">
                  <c:v>-2.8532351056490692</c:v>
                </c:pt>
                <c:pt idx="16">
                  <c:v>-3.1280589683160822</c:v>
                </c:pt>
                <c:pt idx="17">
                  <c:v>-3.4292541283778606</c:v>
                </c:pt>
                <c:pt idx="18">
                  <c:v>-3.7593194705012913</c:v>
                </c:pt>
                <c:pt idx="19">
                  <c:v>-4.120980648819395</c:v>
                </c:pt>
                <c:pt idx="20">
                  <c:v>-4.5172074785718364</c:v>
                </c:pt>
                <c:pt idx="21">
                  <c:v>-4.951231618355985</c:v>
                </c:pt>
                <c:pt idx="22">
                  <c:v>-5.4265641528247652</c:v>
                </c:pt>
                <c:pt idx="23">
                  <c:v>-5.9470125281763613</c:v>
                </c:pt>
                <c:pt idx="24">
                  <c:v>-6.5166960893621448</c:v>
                </c:pt>
                <c:pt idx="25">
                  <c:v>-7.1400592084048329</c:v>
                </c:pt>
                <c:pt idx="26">
                  <c:v>-7.8218806666750798</c:v>
                </c:pt>
                <c:pt idx="27">
                  <c:v>-8.5672775498344134</c:v>
                </c:pt>
                <c:pt idx="28">
                  <c:v>-9.381701424021081</c:v>
                </c:pt>
                <c:pt idx="29">
                  <c:v>-10.270923982712304</c:v>
                </c:pt>
                <c:pt idx="30">
                  <c:v>-11.241008692858188</c:v>
                </c:pt>
                <c:pt idx="31">
                  <c:v>-12.298264251493121</c:v>
                </c:pt>
                <c:pt idx="32">
                  <c:v>-13.449174943349075</c:v>
                </c:pt>
                <c:pt idx="33">
                  <c:v>-14.700302361013394</c:v>
                </c:pt>
                <c:pt idx="34">
                  <c:v>-16.058152564270522</c:v>
                </c:pt>
                <c:pt idx="35">
                  <c:v>-17.529002839765141</c:v>
                </c:pt>
                <c:pt idx="36">
                  <c:v>-19.118683083526708</c:v>
                </c:pt>
                <c:pt idx="37">
                  <c:v>-20.832308850008449</c:v>
                </c:pt>
                <c:pt idx="38">
                  <c:v>-22.673966711792648</c:v>
                </c:pt>
                <c:pt idx="39">
                  <c:v>-24.646358122059794</c:v>
                </c:pt>
                <c:pt idx="40">
                  <c:v>-26.750415629208973</c:v>
                </c:pt>
                <c:pt idx="41">
                  <c:v>-28.984914794744046</c:v>
                </c:pt>
                <c:pt idx="42">
                  <c:v>-31.346115568889822</c:v>
                </c:pt>
                <c:pt idx="43">
                  <c:v>-33.8274763727199</c:v>
                </c:pt>
                <c:pt idx="44">
                  <c:v>-36.419490064349795</c:v>
                </c:pt>
                <c:pt idx="45">
                  <c:v>-39.109690232005676</c:v>
                </c:pt>
                <c:pt idx="46">
                  <c:v>-41.882866196301237</c:v>
                </c:pt>
                <c:pt idx="47">
                  <c:v>-44.721504713948384</c:v>
                </c:pt>
                <c:pt idx="48">
                  <c:v>-47.606447443596224</c:v>
                </c:pt>
                <c:pt idx="49">
                  <c:v>-50.5177207350808</c:v>
                </c:pt>
                <c:pt idx="50">
                  <c:v>-53.435465508099512</c:v>
                </c:pt>
                <c:pt idx="51">
                  <c:v>-56.340877306955015</c:v>
                </c:pt>
                <c:pt idx="52">
                  <c:v>-59.217064945870945</c:v>
                </c:pt>
                <c:pt idx="53">
                  <c:v>-62.049750944391398</c:v>
                </c:pt>
                <c:pt idx="54">
                  <c:v>-64.827764015902957</c:v>
                </c:pt>
                <c:pt idx="55">
                  <c:v>-67.543306053328806</c:v>
                </c:pt>
                <c:pt idx="56">
                  <c:v>-70.192005828348314</c:v>
                </c:pt>
                <c:pt idx="57">
                  <c:v>-72.77279342580448</c:v>
                </c:pt>
                <c:pt idx="58">
                  <c:v>-75.287640834569459</c:v>
                </c:pt>
                <c:pt idx="59">
                  <c:v>-77.741215612909841</c:v>
                </c:pt>
                <c:pt idx="60">
                  <c:v>-80.140488548444793</c:v>
                </c:pt>
                <c:pt idx="61">
                  <c:v>-82.494325822995975</c:v>
                </c:pt>
                <c:pt idx="62">
                  <c:v>-84.813084196335495</c:v>
                </c:pt>
                <c:pt idx="63">
                  <c:v>-87.108216255967406</c:v>
                </c:pt>
                <c:pt idx="64">
                  <c:v>-89.39188321131256</c:v>
                </c:pt>
                <c:pt idx="65">
                  <c:v>-91.67656585802149</c:v>
                </c:pt>
                <c:pt idx="66">
                  <c:v>-93.974660712582974</c:v>
                </c:pt>
                <c:pt idx="67">
                  <c:v>-96.298048277038717</c:v>
                </c:pt>
                <c:pt idx="68">
                  <c:v>-98.657624139262921</c:v>
                </c:pt>
                <c:pt idx="69">
                  <c:v>-101.06279103396848</c:v>
                </c:pt>
                <c:pt idx="70">
                  <c:v>-103.52092043846038</c:v>
                </c:pt>
                <c:pt idx="71">
                  <c:v>-106.03680443367249</c:v>
                </c:pt>
                <c:pt idx="72">
                  <c:v>-108.61213049026824</c:v>
                </c:pt>
                <c:pt idx="73">
                  <c:v>-111.24502128705051</c:v>
                </c:pt>
                <c:pt idx="74">
                  <c:v>-113.92968646000678</c:v>
                </c:pt>
                <c:pt idx="75">
                  <c:v>-116.65623153113526</c:v>
                </c:pt>
                <c:pt idx="76">
                  <c:v>-119.41065992615438</c:v>
                </c:pt>
                <c:pt idx="77">
                  <c:v>-122.17508636421192</c:v>
                </c:pt>
                <c:pt idx="78">
                  <c:v>-124.92815439460877</c:v>
                </c:pt>
                <c:pt idx="79">
                  <c:v>-127.64561943942041</c:v>
                </c:pt>
                <c:pt idx="80">
                  <c:v>-130.30102527890395</c:v>
                </c:pt>
                <c:pt idx="81">
                  <c:v>-132.86637180128091</c:v>
                </c:pt>
                <c:pt idx="82">
                  <c:v>-135.31265003997459</c:v>
                </c:pt>
                <c:pt idx="83">
                  <c:v>-137.61010930805202</c:v>
                </c:pt>
                <c:pt idx="84">
                  <c:v>-139.72811804992205</c:v>
                </c:pt>
                <c:pt idx="85">
                  <c:v>-141.63447667843076</c:v>
                </c:pt>
                <c:pt idx="86">
                  <c:v>-143.29402390200613</c:v>
                </c:pt>
                <c:pt idx="87">
                  <c:v>-144.66633054323421</c:v>
                </c:pt>
                <c:pt idx="88">
                  <c:v>-145.7021753931983</c:v>
                </c:pt>
                <c:pt idx="89">
                  <c:v>-146.33832047563655</c:v>
                </c:pt>
                <c:pt idx="90">
                  <c:v>-146.48982044240611</c:v>
                </c:pt>
                <c:pt idx="91">
                  <c:v>-146.03870569306901</c:v>
                </c:pt>
                <c:pt idx="92">
                  <c:v>-144.81748821845287</c:v>
                </c:pt>
                <c:pt idx="93">
                  <c:v>-142.58617777078607</c:v>
                </c:pt>
                <c:pt idx="94">
                  <c:v>-139.00475806285166</c:v>
                </c:pt>
                <c:pt idx="95">
                  <c:v>-133.61695555118749</c:v>
                </c:pt>
                <c:pt idx="96">
                  <c:v>-125.9032744297083</c:v>
                </c:pt>
                <c:pt idx="97">
                  <c:v>-115.53903845897622</c:v>
                </c:pt>
                <c:pt idx="98">
                  <c:v>-102.95538316596105</c:v>
                </c:pt>
                <c:pt idx="99">
                  <c:v>-113.01360351791797</c:v>
                </c:pt>
                <c:pt idx="100">
                  <c:v>-128.62571163291119</c:v>
                </c:pt>
                <c:pt idx="101">
                  <c:v>-141.87684937115631</c:v>
                </c:pt>
                <c:pt idx="102">
                  <c:v>-152.71537898791996</c:v>
                </c:pt>
                <c:pt idx="103">
                  <c:v>-161.60101265459812</c:v>
                </c:pt>
                <c:pt idx="104">
                  <c:v>-169.05078410054782</c:v>
                </c:pt>
                <c:pt idx="105">
                  <c:v>-175.47979916257938</c:v>
                </c:pt>
                <c:pt idx="106">
                  <c:v>-178.81406684950716</c:v>
                </c:pt>
                <c:pt idx="107">
                  <c:v>-173.6261965169102</c:v>
                </c:pt>
                <c:pt idx="108">
                  <c:v>-168.81898777246448</c:v>
                </c:pt>
                <c:pt idx="109">
                  <c:v>-164.30167706916905</c:v>
                </c:pt>
                <c:pt idx="110">
                  <c:v>-160.01619916973695</c:v>
                </c:pt>
                <c:pt idx="111">
                  <c:v>-155.92744877667675</c:v>
                </c:pt>
                <c:pt idx="112">
                  <c:v>-152.01646280969939</c:v>
                </c:pt>
                <c:pt idx="113">
                  <c:v>-148.27548854146727</c:v>
                </c:pt>
                <c:pt idx="114">
                  <c:v>-144.70428751903881</c:v>
                </c:pt>
                <c:pt idx="115">
                  <c:v>-141.30729537724167</c:v>
                </c:pt>
                <c:pt idx="116">
                  <c:v>-138.09142848128985</c:v>
                </c:pt>
                <c:pt idx="117">
                  <c:v>-135.0644244840058</c:v>
                </c:pt>
                <c:pt idx="118">
                  <c:v>-132.23364819977533</c:v>
                </c:pt>
                <c:pt idx="119">
                  <c:v>-129.60530651107217</c:v>
                </c:pt>
                <c:pt idx="120">
                  <c:v>-127.18401265639118</c:v>
                </c:pt>
                <c:pt idx="121">
                  <c:v>-124.97263314575898</c:v>
                </c:pt>
                <c:pt idx="122">
                  <c:v>-122.97234679663393</c:v>
                </c:pt>
                <c:pt idx="123">
                  <c:v>-121.18284765796942</c:v>
                </c:pt>
                <c:pt idx="124">
                  <c:v>-119.60263142692268</c:v>
                </c:pt>
                <c:pt idx="125">
                  <c:v>-118.22931628233481</c:v>
                </c:pt>
                <c:pt idx="126">
                  <c:v>-117.0599614601602</c:v>
                </c:pt>
                <c:pt idx="127">
                  <c:v>-116.09135844300165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401-4B5D-97C2-9FEE362C993E}"/>
            </c:ext>
          </c:extLst>
        </c:ser>
        <c:ser>
          <c:idx val="3"/>
          <c:order val="3"/>
          <c:tx>
            <c:v>.</c:v>
          </c:tx>
          <c:spPr>
            <a:ln>
              <a:solidFill>
                <a:schemeClr val="accent1"/>
              </a:solidFill>
              <a:prstDash val="sysDash"/>
            </a:ln>
          </c:spPr>
          <c:marker>
            <c:symbol val="none"/>
          </c:marker>
          <c:xVal>
            <c:numRef>
              <c:f>Bode_Plot!$BZ$50:$BZ$150</c:f>
              <c:numCache>
                <c:formatCode>General</c:formatCode>
                <c:ptCount val="101"/>
                <c:pt idx="0">
                  <c:v>100</c:v>
                </c:pt>
                <c:pt idx="1">
                  <c:v>109.647819614318</c:v>
                </c:pt>
                <c:pt idx="2">
                  <c:v>120.226443461741</c:v>
                </c:pt>
                <c:pt idx="3">
                  <c:v>131.82567385563999</c:v>
                </c:pt>
                <c:pt idx="4">
                  <c:v>144.54397707459199</c:v>
                </c:pt>
                <c:pt idx="5">
                  <c:v>158.48931924611099</c:v>
                </c:pt>
                <c:pt idx="6">
                  <c:v>173.78008287493699</c:v>
                </c:pt>
                <c:pt idx="7">
                  <c:v>190.54607179632399</c:v>
                </c:pt>
                <c:pt idx="8">
                  <c:v>208.92961308540299</c:v>
                </c:pt>
                <c:pt idx="9">
                  <c:v>229.08676527677699</c:v>
                </c:pt>
                <c:pt idx="10">
                  <c:v>251.188643150958</c:v>
                </c:pt>
                <c:pt idx="11">
                  <c:v>275.42287033381598</c:v>
                </c:pt>
                <c:pt idx="12">
                  <c:v>301.995172040201</c:v>
                </c:pt>
                <c:pt idx="13">
                  <c:v>331.13112148259103</c:v>
                </c:pt>
                <c:pt idx="14">
                  <c:v>363.07805477010101</c:v>
                </c:pt>
                <c:pt idx="15">
                  <c:v>398.10717055349699</c:v>
                </c:pt>
                <c:pt idx="16">
                  <c:v>436.51583224016503</c:v>
                </c:pt>
                <c:pt idx="17">
                  <c:v>478.63009232263801</c:v>
                </c:pt>
                <c:pt idx="18">
                  <c:v>524.80746024977202</c:v>
                </c:pt>
                <c:pt idx="19">
                  <c:v>575.43993733715604</c:v>
                </c:pt>
                <c:pt idx="20">
                  <c:v>630.957344480193</c:v>
                </c:pt>
                <c:pt idx="21">
                  <c:v>691.83097091893603</c:v>
                </c:pt>
                <c:pt idx="22">
                  <c:v>758.57757502918298</c:v>
                </c:pt>
                <c:pt idx="23">
                  <c:v>831.76377110267094</c:v>
                </c:pt>
                <c:pt idx="24">
                  <c:v>912.01083935590896</c:v>
                </c:pt>
                <c:pt idx="25">
                  <c:v>1000</c:v>
                </c:pt>
                <c:pt idx="26">
                  <c:v>1096.47819614318</c:v>
                </c:pt>
                <c:pt idx="27">
                  <c:v>1202.26443461741</c:v>
                </c:pt>
                <c:pt idx="28">
                  <c:v>1318.2567385564</c:v>
                </c:pt>
                <c:pt idx="29">
                  <c:v>1445.43977074592</c:v>
                </c:pt>
                <c:pt idx="30">
                  <c:v>1584.8931924611099</c:v>
                </c:pt>
                <c:pt idx="31">
                  <c:v>1737.8008287493701</c:v>
                </c:pt>
                <c:pt idx="32">
                  <c:v>1905.4607179632401</c:v>
                </c:pt>
                <c:pt idx="33">
                  <c:v>2089.2961308540298</c:v>
                </c:pt>
                <c:pt idx="34">
                  <c:v>2290.8676527677699</c:v>
                </c:pt>
                <c:pt idx="35">
                  <c:v>2511.8864315095698</c:v>
                </c:pt>
                <c:pt idx="36">
                  <c:v>2754.2287033381599</c:v>
                </c:pt>
                <c:pt idx="37">
                  <c:v>3019.9517204020099</c:v>
                </c:pt>
                <c:pt idx="38">
                  <c:v>3311.3112148259102</c:v>
                </c:pt>
                <c:pt idx="39">
                  <c:v>3630.7805477010102</c:v>
                </c:pt>
                <c:pt idx="40">
                  <c:v>3981.0717055349701</c:v>
                </c:pt>
                <c:pt idx="41">
                  <c:v>4365.1583224016504</c:v>
                </c:pt>
                <c:pt idx="42">
                  <c:v>4786.3009232263803</c:v>
                </c:pt>
                <c:pt idx="43">
                  <c:v>5248.0746024977198</c:v>
                </c:pt>
                <c:pt idx="44">
                  <c:v>5754.3993733715597</c:v>
                </c:pt>
                <c:pt idx="45">
                  <c:v>6309.5734448019302</c:v>
                </c:pt>
                <c:pt idx="46">
                  <c:v>6918.3097091893596</c:v>
                </c:pt>
                <c:pt idx="47">
                  <c:v>7585.7757502918303</c:v>
                </c:pt>
                <c:pt idx="48">
                  <c:v>8317.6377110267003</c:v>
                </c:pt>
                <c:pt idx="49">
                  <c:v>9120.1083935590905</c:v>
                </c:pt>
                <c:pt idx="50">
                  <c:v>10000</c:v>
                </c:pt>
                <c:pt idx="51">
                  <c:v>10964.7819614318</c:v>
                </c:pt>
                <c:pt idx="52">
                  <c:v>12022.6443461741</c:v>
                </c:pt>
                <c:pt idx="53">
                  <c:v>13182.567385564</c:v>
                </c:pt>
                <c:pt idx="54">
                  <c:v>14454.3977074592</c:v>
                </c:pt>
                <c:pt idx="55">
                  <c:v>15848.931924611101</c:v>
                </c:pt>
                <c:pt idx="56">
                  <c:v>17378.0082874937</c:v>
                </c:pt>
                <c:pt idx="57">
                  <c:v>19054.607179632399</c:v>
                </c:pt>
                <c:pt idx="58">
                  <c:v>20892.9613085403</c:v>
                </c:pt>
                <c:pt idx="59">
                  <c:v>22908.676527677701</c:v>
                </c:pt>
                <c:pt idx="60">
                  <c:v>25118.8643150957</c:v>
                </c:pt>
                <c:pt idx="61">
                  <c:v>27542.287033381599</c:v>
                </c:pt>
                <c:pt idx="62">
                  <c:v>30199.5172040201</c:v>
                </c:pt>
                <c:pt idx="63">
                  <c:v>33113.112148259097</c:v>
                </c:pt>
                <c:pt idx="64">
                  <c:v>36307.805477010101</c:v>
                </c:pt>
                <c:pt idx="65">
                  <c:v>39810.717055349698</c:v>
                </c:pt>
                <c:pt idx="66">
                  <c:v>43651.583224016598</c:v>
                </c:pt>
                <c:pt idx="67">
                  <c:v>47863.009232263801</c:v>
                </c:pt>
                <c:pt idx="68">
                  <c:v>52480.746024977198</c:v>
                </c:pt>
                <c:pt idx="69">
                  <c:v>57543.993733715601</c:v>
                </c:pt>
                <c:pt idx="70">
                  <c:v>63095.734448019197</c:v>
                </c:pt>
                <c:pt idx="71">
                  <c:v>69183.097091893593</c:v>
                </c:pt>
                <c:pt idx="72">
                  <c:v>75857.757502918306</c:v>
                </c:pt>
                <c:pt idx="73">
                  <c:v>83176.377110267</c:v>
                </c:pt>
                <c:pt idx="74">
                  <c:v>91201.083935590897</c:v>
                </c:pt>
                <c:pt idx="75">
                  <c:v>100000</c:v>
                </c:pt>
                <c:pt idx="76">
                  <c:v>109647.819614318</c:v>
                </c:pt>
                <c:pt idx="77">
                  <c:v>120226.443461741</c:v>
                </c:pt>
                <c:pt idx="78">
                  <c:v>131825.67385563999</c:v>
                </c:pt>
                <c:pt idx="79">
                  <c:v>144543.977074592</c:v>
                </c:pt>
                <c:pt idx="80">
                  <c:v>158489.319246111</c:v>
                </c:pt>
                <c:pt idx="81">
                  <c:v>173780.08287493701</c:v>
                </c:pt>
                <c:pt idx="82">
                  <c:v>190546.07179632399</c:v>
                </c:pt>
                <c:pt idx="83">
                  <c:v>208929.61308540299</c:v>
                </c:pt>
                <c:pt idx="84">
                  <c:v>229086.76527677701</c:v>
                </c:pt>
                <c:pt idx="85">
                  <c:v>251188.64315095701</c:v>
                </c:pt>
                <c:pt idx="86">
                  <c:v>275422.87033381598</c:v>
                </c:pt>
                <c:pt idx="87">
                  <c:v>301995.17204020103</c:v>
                </c:pt>
                <c:pt idx="88">
                  <c:v>331131.12148259103</c:v>
                </c:pt>
                <c:pt idx="89">
                  <c:v>363078.05477010098</c:v>
                </c:pt>
                <c:pt idx="90">
                  <c:v>398107.17055349698</c:v>
                </c:pt>
                <c:pt idx="91">
                  <c:v>436515.83224016603</c:v>
                </c:pt>
                <c:pt idx="92">
                  <c:v>478630.09232263803</c:v>
                </c:pt>
                <c:pt idx="93">
                  <c:v>524807.46024977195</c:v>
                </c:pt>
                <c:pt idx="94">
                  <c:v>575439.93733715604</c:v>
                </c:pt>
                <c:pt idx="95">
                  <c:v>630957.34448019206</c:v>
                </c:pt>
                <c:pt idx="96">
                  <c:v>691830.97091893596</c:v>
                </c:pt>
                <c:pt idx="97">
                  <c:v>758577.57502918295</c:v>
                </c:pt>
                <c:pt idx="98">
                  <c:v>831763.77110267</c:v>
                </c:pt>
                <c:pt idx="99">
                  <c:v>912010.83935590903</c:v>
                </c:pt>
                <c:pt idx="100">
                  <c:v>1000000</c:v>
                </c:pt>
              </c:numCache>
            </c:numRef>
          </c:xVal>
          <c:yVal>
            <c:numRef>
              <c:f>Bode_Plot!$CB$50:$CB$150</c:f>
              <c:numCache>
                <c:formatCode>General</c:formatCode>
                <c:ptCount val="101"/>
                <c:pt idx="0">
                  <c:v>-0.83977290868980903</c:v>
                </c:pt>
                <c:pt idx="1">
                  <c:v>-0.92078145951983403</c:v>
                </c:pt>
                <c:pt idx="2">
                  <c:v>-1.0096019976678099</c:v>
                </c:pt>
                <c:pt idx="3">
                  <c:v>-1.10698707335477</c:v>
                </c:pt>
                <c:pt idx="4">
                  <c:v>-1.21376148013819</c:v>
                </c:pt>
                <c:pt idx="5">
                  <c:v>-1.33082910996564</c:v>
                </c:pt>
                <c:pt idx="6">
                  <c:v>-1.4591804331314</c:v>
                </c:pt>
                <c:pt idx="7">
                  <c:v>-1.5999006518643</c:v>
                </c:pt>
                <c:pt idx="8">
                  <c:v>-1.7541785773468701</c:v>
                </c:pt>
                <c:pt idx="9">
                  <c:v>-1.92331627996121</c:v>
                </c:pt>
                <c:pt idx="10">
                  <c:v>-2.1087395610929098</c:v>
                </c:pt>
                <c:pt idx="11">
                  <c:v>-2.3120092912300199</c:v>
                </c:pt>
                <c:pt idx="12">
                  <c:v>-2.5348336526226398</c:v>
                </c:pt>
                <c:pt idx="13">
                  <c:v>-2.7790813143266502</c:v>
                </c:pt>
                <c:pt idx="14">
                  <c:v>-3.0467955517022598</c:v>
                </c:pt>
                <c:pt idx="15">
                  <c:v>-3.34020929954707</c:v>
                </c:pt>
                <c:pt idx="16">
                  <c:v>-3.6617610957339601</c:v>
                </c:pt>
                <c:pt idx="17">
                  <c:v>-4.0141118275196597</c:v>
                </c:pt>
                <c:pt idx="18">
                  <c:v>-4.4001621318050601</c:v>
                </c:pt>
                <c:pt idx="19">
                  <c:v>-4.8230702188869703</c:v>
                </c:pt>
                <c:pt idx="20">
                  <c:v>-5.28626978071041</c:v>
                </c:pt>
                <c:pt idx="21">
                  <c:v>-5.7934875022460597</c:v>
                </c:pt>
                <c:pt idx="22">
                  <c:v>-6.3487595098407903</c:v>
                </c:pt>
                <c:pt idx="23">
                  <c:v>-6.9564458534464304</c:v>
                </c:pt>
                <c:pt idx="24">
                  <c:v>-7.6212418198993799</c:v>
                </c:pt>
                <c:pt idx="25">
                  <c:v>-8.3481845008415707</c:v>
                </c:pt>
                <c:pt idx="26">
                  <c:v>-9.1426525821590605</c:v>
                </c:pt>
                <c:pt idx="27">
                  <c:v>-10.010356776127299</c:v>
                </c:pt>
                <c:pt idx="28">
                  <c:v>-10.9573176857975</c:v>
                </c:pt>
                <c:pt idx="29">
                  <c:v>-11.989827190472999</c:v>
                </c:pt>
                <c:pt idx="30">
                  <c:v>-13.1143887129404</c:v>
                </c:pt>
                <c:pt idx="31">
                  <c:v>-14.3376310504856</c:v>
                </c:pt>
                <c:pt idx="32">
                  <c:v>-15.6661899516433</c:v>
                </c:pt>
                <c:pt idx="33">
                  <c:v>-17.106551494769398</c:v>
                </c:pt>
                <c:pt idx="34">
                  <c:v>-18.664851849262099</c:v>
                </c:pt>
                <c:pt idx="35">
                  <c:v>-20.346629531765299</c:v>
                </c:pt>
                <c:pt idx="36">
                  <c:v>-22.156529221197498</c:v>
                </c:pt>
                <c:pt idx="37">
                  <c:v>-24.097960969282301</c:v>
                </c:pt>
                <c:pt idx="38">
                  <c:v>-26.172725500194801</c:v>
                </c:pt>
                <c:pt idx="39">
                  <c:v>-28.380625159157699</c:v>
                </c:pt>
                <c:pt idx="40">
                  <c:v>-30.719090286963201</c:v>
                </c:pt>
                <c:pt idx="41">
                  <c:v>-33.1828608961806</c:v>
                </c:pt>
                <c:pt idx="42">
                  <c:v>-35.763771143302499</c:v>
                </c:pt>
                <c:pt idx="43">
                  <c:v>-38.450686221808098</c:v>
                </c:pt>
                <c:pt idx="44">
                  <c:v>-41.229634983097498</c:v>
                </c:pt>
                <c:pt idx="45">
                  <c:v>-44.084165042951597</c:v>
                </c:pt>
                <c:pt idx="46">
                  <c:v>-46.9959209787528</c:v>
                </c:pt>
                <c:pt idx="47">
                  <c:v>-49.945414262876099</c:v>
                </c:pt>
                <c:pt idx="48">
                  <c:v>-52.912922405182101</c:v>
                </c:pt>
                <c:pt idx="49">
                  <c:v>-55.879432063383703</c:v>
                </c:pt>
                <c:pt idx="50">
                  <c:v>-58.8275327647764</c:v>
                </c:pt>
                <c:pt idx="51">
                  <c:v>-61.742176631366199</c:v>
                </c:pt>
                <c:pt idx="52">
                  <c:v>-64.611242589900897</c:v>
                </c:pt>
                <c:pt idx="53">
                  <c:v>-67.425874678202405</c:v>
                </c:pt>
                <c:pt idx="54">
                  <c:v>-70.180595548257102</c:v>
                </c:pt>
                <c:pt idx="55">
                  <c:v>-72.873221633097401</c:v>
                </c:pt>
                <c:pt idx="56">
                  <c:v>-75.5046220679463</c:v>
                </c:pt>
                <c:pt idx="57">
                  <c:v>-78.078368869088806</c:v>
                </c:pt>
                <c:pt idx="58">
                  <c:v>-80.600322969208307</c:v>
                </c:pt>
                <c:pt idx="59">
                  <c:v>-83.078192489453102</c:v>
                </c:pt>
                <c:pt idx="60">
                  <c:v>-85.521089105517603</c:v>
                </c:pt>
                <c:pt idx="61">
                  <c:v>-87.939097871794402</c:v>
                </c:pt>
                <c:pt idx="62">
                  <c:v>-90.342866843249297</c:v>
                </c:pt>
                <c:pt idx="63">
                  <c:v>-92.743215917647703</c:v>
                </c:pt>
                <c:pt idx="64">
                  <c:v>-95.150759603040001</c:v>
                </c:pt>
                <c:pt idx="65">
                  <c:v>-97.575535736111703</c:v>
                </c:pt>
                <c:pt idx="66">
                  <c:v>-100.026631389095</c:v>
                </c:pt>
                <c:pt idx="67">
                  <c:v>-102.511798364923</c:v>
                </c:pt>
                <c:pt idx="68">
                  <c:v>-105.03705411905899</c:v>
                </c:pt>
                <c:pt idx="69">
                  <c:v>-107.60627011599099</c:v>
                </c:pt>
                <c:pt idx="70">
                  <c:v>-110.22075873318801</c:v>
                </c:pt>
                <c:pt idx="71">
                  <c:v>-112.878881274138</c:v>
                </c:pt>
                <c:pt idx="72">
                  <c:v>-115.575711570149</c:v>
                </c:pt>
                <c:pt idx="73">
                  <c:v>-118.302798784084</c:v>
                </c:pt>
                <c:pt idx="74">
                  <c:v>-121.04807531743801</c:v>
                </c:pt>
                <c:pt idx="75">
                  <c:v>-123.79594756936299</c:v>
                </c:pt>
                <c:pt idx="76">
                  <c:v>-126.527587211304</c:v>
                </c:pt>
                <c:pt idx="77">
                  <c:v>-129.22141061285899</c:v>
                </c:pt>
                <c:pt idx="78">
                  <c:v>-131.85369997490901</c:v>
                </c:pt>
                <c:pt idx="79">
                  <c:v>-134.406436268378</c:v>
                </c:pt>
                <c:pt idx="80">
                  <c:v>-136.841546085044</c:v>
                </c:pt>
                <c:pt idx="81">
                  <c:v>-139.13851621529599</c:v>
                </c:pt>
                <c:pt idx="82">
                  <c:v>-141.271598589783</c:v>
                </c:pt>
                <c:pt idx="83">
                  <c:v>-143.21566620035199</c:v>
                </c:pt>
                <c:pt idx="84">
                  <c:v>-144.94672181128399</c:v>
                </c:pt>
                <c:pt idx="85">
                  <c:v>-146.44348274009201</c:v>
                </c:pt>
                <c:pt idx="86">
                  <c:v>-147.690559293565</c:v>
                </c:pt>
                <c:pt idx="87">
                  <c:v>-148.674664487527</c:v>
                </c:pt>
                <c:pt idx="88">
                  <c:v>-149.45256326609001</c:v>
                </c:pt>
                <c:pt idx="89">
                  <c:v>-150.08222612758701</c:v>
                </c:pt>
                <c:pt idx="90">
                  <c:v>-150.929149419065</c:v>
                </c:pt>
                <c:pt idx="91">
                  <c:v>-152.52555898625599</c:v>
                </c:pt>
                <c:pt idx="92">
                  <c:v>-155.70919814935999</c:v>
                </c:pt>
                <c:pt idx="93">
                  <c:v>-160.855979482972</c:v>
                </c:pt>
                <c:pt idx="94">
                  <c:v>-166.351349493968</c:v>
                </c:pt>
                <c:pt idx="95">
                  <c:v>-170.551872332209</c:v>
                </c:pt>
                <c:pt idx="96">
                  <c:v>-178.346169441303</c:v>
                </c:pt>
                <c:pt idx="97">
                  <c:v>-230.48590675356701</c:v>
                </c:pt>
                <c:pt idx="98">
                  <c:v>-267.19888355457499</c:v>
                </c:pt>
                <c:pt idx="99">
                  <c:v>-344.37680174183902</c:v>
                </c:pt>
                <c:pt idx="100">
                  <c:v>-364.70012368651999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401-4B5D-97C2-9FEE362C993E}"/>
            </c:ext>
          </c:extLst>
        </c:ser>
        <c:ser>
          <c:idx val="4"/>
          <c:order val="4"/>
          <c:tx>
            <c:v>5V0, 30A, 400k, 1ph</c:v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xVal>
            <c:numRef>
              <c:f>Bode_Plot!$CJ$50:$CJ$177</c:f>
              <c:numCache>
                <c:formatCode>General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Bode_Plot!$CL$50:$CL$177</c:f>
              <c:numCache>
                <c:formatCode>General</c:formatCode>
                <c:ptCount val="128"/>
                <c:pt idx="0">
                  <c:v>-8.263642957455529E-2</c:v>
                </c:pt>
                <c:pt idx="1">
                  <c:v>-0.41417087786246876</c:v>
                </c:pt>
                <c:pt idx="2">
                  <c:v>-0.82642688677488907</c:v>
                </c:pt>
                <c:pt idx="3">
                  <c:v>-0.90617308350329695</c:v>
                </c:pt>
                <c:pt idx="4">
                  <c:v>-0.99361751180512548</c:v>
                </c:pt>
                <c:pt idx="5">
                  <c:v>-1.0895043033201699</c:v>
                </c:pt>
                <c:pt idx="6">
                  <c:v>-1.1946498341174223</c:v>
                </c:pt>
                <c:pt idx="7">
                  <c:v>-1.3099498385324417</c:v>
                </c:pt>
                <c:pt idx="8">
                  <c:v>-1.4363872551008168</c:v>
                </c:pt>
                <c:pt idx="9">
                  <c:v>-1.5750408897817707</c:v>
                </c:pt>
                <c:pt idx="10">
                  <c:v>-1.7270949945145326</c:v>
                </c:pt>
                <c:pt idx="11">
                  <c:v>-1.893849874716413</c:v>
                </c:pt>
                <c:pt idx="12">
                  <c:v>-2.0767336583343359</c:v>
                </c:pt>
                <c:pt idx="13">
                  <c:v>-2.277315382460015</c:v>
                </c:pt>
                <c:pt idx="14">
                  <c:v>-2.4973195825378816</c:v>
                </c:pt>
                <c:pt idx="15">
                  <c:v>-2.7386426054517643</c:v>
                </c:pt>
                <c:pt idx="16">
                  <c:v>-3.0033709133712025</c:v>
                </c:pt>
                <c:pt idx="17">
                  <c:v>-3.2938017029197297</c:v>
                </c:pt>
                <c:pt idx="18">
                  <c:v>-3.6124662375934715</c:v>
                </c:pt>
                <c:pt idx="19">
                  <c:v>-3.9621563851026189</c:v>
                </c:pt>
                <c:pt idx="20">
                  <c:v>-4.3459549715922838</c:v>
                </c:pt>
                <c:pt idx="21">
                  <c:v>-4.7672707195365041</c:v>
                </c:pt>
                <c:pt idx="22">
                  <c:v>-5.2298787359909493</c:v>
                </c:pt>
                <c:pt idx="23">
                  <c:v>-5.7379677764671833</c:v>
                </c:pt>
                <c:pt idx="24">
                  <c:v>-6.2961958446746404</c:v>
                </c:pt>
                <c:pt idx="25">
                  <c:v>-6.9097561226062831</c:v>
                </c:pt>
                <c:pt idx="26">
                  <c:v>-7.584455788230982</c:v>
                </c:pt>
                <c:pt idx="27">
                  <c:v>-8.3268110064491854</c:v>
                </c:pt>
                <c:pt idx="28">
                  <c:v>-9.1441623191032253</c:v>
                </c:pt>
                <c:pt idx="29">
                  <c:v>-10.044815867396354</c:v>
                </c:pt>
                <c:pt idx="30">
                  <c:v>-11.03821741900453</c:v>
                </c:pt>
                <c:pt idx="31">
                  <c:v>-12.13516810912842</c:v>
                </c:pt>
                <c:pt idx="32">
                  <c:v>-13.348093194292728</c:v>
                </c:pt>
                <c:pt idx="33">
                  <c:v>-14.691377969079722</c:v>
                </c:pt>
                <c:pt idx="34">
                  <c:v>-16.18178820250575</c:v>
                </c:pt>
                <c:pt idx="35">
                  <c:v>-17.838995646672672</c:v>
                </c:pt>
                <c:pt idx="36">
                  <c:v>-19.686231448091863</c:v>
                </c:pt>
                <c:pt idx="37">
                  <c:v>-21.75108965632807</c:v>
                </c:pt>
                <c:pt idx="38">
                  <c:v>-24.066495365347702</c:v>
                </c:pt>
                <c:pt idx="39">
                  <c:v>-26.671829250866157</c:v>
                </c:pt>
                <c:pt idx="40">
                  <c:v>-29.61414712118944</c:v>
                </c:pt>
                <c:pt idx="41">
                  <c:v>-32.949322258683175</c:v>
                </c:pt>
                <c:pt idx="42">
                  <c:v>-36.742724722542945</c:v>
                </c:pt>
                <c:pt idx="43">
                  <c:v>-41.068671874396657</c:v>
                </c:pt>
                <c:pt idx="44">
                  <c:v>-46.007280215342085</c:v>
                </c:pt>
                <c:pt idx="45">
                  <c:v>-51.636566356742627</c:v>
                </c:pt>
                <c:pt idx="46">
                  <c:v>-58.017090854083982</c:v>
                </c:pt>
                <c:pt idx="47">
                  <c:v>-65.167299740738358</c:v>
                </c:pt>
                <c:pt idx="48">
                  <c:v>-73.032047430363306</c:v>
                </c:pt>
                <c:pt idx="49">
                  <c:v>-81.455662234325771</c:v>
                </c:pt>
                <c:pt idx="50">
                  <c:v>-90.179560948403108</c:v>
                </c:pt>
                <c:pt idx="51">
                  <c:v>-98.88011945912703</c:v>
                </c:pt>
                <c:pt idx="52">
                  <c:v>-107.23826116578635</c:v>
                </c:pt>
                <c:pt idx="53">
                  <c:v>-115.00667142952651</c:v>
                </c:pt>
                <c:pt idx="54">
                  <c:v>-122.04259910368549</c:v>
                </c:pt>
                <c:pt idx="55">
                  <c:v>-128.30136036738475</c:v>
                </c:pt>
                <c:pt idx="56">
                  <c:v>-133.80789206824102</c:v>
                </c:pt>
                <c:pt idx="57">
                  <c:v>-138.62570659484103</c:v>
                </c:pt>
                <c:pt idx="58">
                  <c:v>-142.83336049576707</c:v>
                </c:pt>
                <c:pt idx="59">
                  <c:v>-146.51014128104748</c:v>
                </c:pt>
                <c:pt idx="60">
                  <c:v>-149.72888236270262</c:v>
                </c:pt>
                <c:pt idx="61">
                  <c:v>-152.55322488945103</c:v>
                </c:pt>
                <c:pt idx="62">
                  <c:v>-155.03727079702756</c:v>
                </c:pt>
                <c:pt idx="63">
                  <c:v>-157.22634294635623</c:v>
                </c:pt>
                <c:pt idx="64">
                  <c:v>-159.15814385700222</c:v>
                </c:pt>
                <c:pt idx="65">
                  <c:v>-160.86396047409482</c:v>
                </c:pt>
                <c:pt idx="66">
                  <c:v>-162.36976035906503</c:v>
                </c:pt>
                <c:pt idx="67">
                  <c:v>-163.69712643104705</c:v>
                </c:pt>
                <c:pt idx="68">
                  <c:v>-164.86402557045346</c:v>
                </c:pt>
                <c:pt idx="69">
                  <c:v>-165.8854265626598</c:v>
                </c:pt>
                <c:pt idx="70">
                  <c:v>-166.77378915810797</c:v>
                </c:pt>
                <c:pt idx="71">
                  <c:v>-167.53944590591993</c:v>
                </c:pt>
                <c:pt idx="72">
                  <c:v>-168.19089563384276</c:v>
                </c:pt>
                <c:pt idx="73">
                  <c:v>-168.73502378838805</c:v>
                </c:pt>
                <c:pt idx="74">
                  <c:v>-169.1772610923239</c:v>
                </c:pt>
                <c:pt idx="75">
                  <c:v>-169.52168838463243</c:v>
                </c:pt>
                <c:pt idx="76">
                  <c:v>-169.77109208065605</c:v>
                </c:pt>
                <c:pt idx="77">
                  <c:v>-169.92697128344972</c:v>
                </c:pt>
                <c:pt idx="78">
                  <c:v>-169.98949394765643</c:v>
                </c:pt>
                <c:pt idx="79">
                  <c:v>-169.95739529955367</c:v>
                </c:pt>
                <c:pt idx="80">
                  <c:v>-169.82780646758775</c:v>
                </c:pt>
                <c:pt idx="81">
                  <c:v>-169.59599427766477</c:v>
                </c:pt>
                <c:pt idx="82">
                  <c:v>-169.25498337092156</c:v>
                </c:pt>
                <c:pt idx="83">
                  <c:v>-168.79501759867856</c:v>
                </c:pt>
                <c:pt idx="84">
                  <c:v>-168.2027965077649</c:v>
                </c:pt>
                <c:pt idx="85">
                  <c:v>-167.46039060931781</c:v>
                </c:pt>
                <c:pt idx="86">
                  <c:v>-166.54368953336893</c:v>
                </c:pt>
                <c:pt idx="87">
                  <c:v>-165.42015971411186</c:v>
                </c:pt>
                <c:pt idx="88">
                  <c:v>-164.04556665745818</c:v>
                </c:pt>
                <c:pt idx="89">
                  <c:v>-162.35912729705882</c:v>
                </c:pt>
                <c:pt idx="90">
                  <c:v>-160.27627190128678</c:v>
                </c:pt>
                <c:pt idx="91">
                  <c:v>-157.6778030793831</c:v>
                </c:pt>
                <c:pt idx="92">
                  <c:v>-154.39385598488019</c:v>
                </c:pt>
                <c:pt idx="93">
                  <c:v>-150.18131149917073</c:v>
                </c:pt>
                <c:pt idx="94">
                  <c:v>-144.69658643677161</c:v>
                </c:pt>
                <c:pt idx="95">
                  <c:v>-137.47961904449332</c:v>
                </c:pt>
                <c:pt idx="96">
                  <c:v>-128.00702230093549</c:v>
                </c:pt>
                <c:pt idx="97">
                  <c:v>-115.95015960239009</c:v>
                </c:pt>
                <c:pt idx="98">
                  <c:v>-101.73611619742503</c:v>
                </c:pt>
                <c:pt idx="99">
                  <c:v>-108.42389762470351</c:v>
                </c:pt>
                <c:pt idx="100">
                  <c:v>-123.4795985930561</c:v>
                </c:pt>
                <c:pt idx="101">
                  <c:v>-136.10320026502524</c:v>
                </c:pt>
                <c:pt idx="102">
                  <c:v>-146.245652795051</c:v>
                </c:pt>
                <c:pt idx="103">
                  <c:v>-154.37215721073645</c:v>
                </c:pt>
                <c:pt idx="104">
                  <c:v>-161.00824162885684</c:v>
                </c:pt>
                <c:pt idx="105">
                  <c:v>-166.58052366162718</c:v>
                </c:pt>
                <c:pt idx="106">
                  <c:v>-171.40133048848546</c:v>
                </c:pt>
                <c:pt idx="107">
                  <c:v>-175.69250108278274</c:v>
                </c:pt>
                <c:pt idx="108">
                  <c:v>-179.61134790331948</c:v>
                </c:pt>
                <c:pt idx="109">
                  <c:v>-176.72958707929612</c:v>
                </c:pt>
                <c:pt idx="110">
                  <c:v>-173.24898585001208</c:v>
                </c:pt>
                <c:pt idx="111">
                  <c:v>-169.88780453527639</c:v>
                </c:pt>
                <c:pt idx="112">
                  <c:v>-166.60343466940273</c:v>
                </c:pt>
                <c:pt idx="113">
                  <c:v>-163.36589826534225</c:v>
                </c:pt>
                <c:pt idx="114">
                  <c:v>-160.15534297212113</c:v>
                </c:pt>
                <c:pt idx="115">
                  <c:v>-156.96034033276703</c:v>
                </c:pt>
                <c:pt idx="116">
                  <c:v>-153.77664529534431</c:v>
                </c:pt>
                <c:pt idx="117">
                  <c:v>-150.60617954077424</c:v>
                </c:pt>
                <c:pt idx="118">
                  <c:v>-147.45607816589367</c:v>
                </c:pt>
                <c:pt idx="119">
                  <c:v>-144.3377031221921</c:v>
                </c:pt>
                <c:pt idx="120">
                  <c:v>-141.26558386601127</c:v>
                </c:pt>
                <c:pt idx="121">
                  <c:v>-138.25629581712354</c:v>
                </c:pt>
                <c:pt idx="122">
                  <c:v>-135.32732630766995</c:v>
                </c:pt>
                <c:pt idx="123">
                  <c:v>-132.4960006709816</c:v>
                </c:pt>
                <c:pt idx="124">
                  <c:v>-129.77854509401379</c:v>
                </c:pt>
                <c:pt idx="125">
                  <c:v>-127.1893491025143</c:v>
                </c:pt>
                <c:pt idx="126">
                  <c:v>-124.74046447874154</c:v>
                </c:pt>
                <c:pt idx="127">
                  <c:v>-122.44134679199831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401-4B5D-97C2-9FEE362C993E}"/>
            </c:ext>
          </c:extLst>
        </c:ser>
        <c:ser>
          <c:idx val="5"/>
          <c:order val="5"/>
          <c:tx>
            <c:v>..</c:v>
          </c:tx>
          <c:spPr>
            <a:ln>
              <a:solidFill>
                <a:schemeClr val="accent2"/>
              </a:solidFill>
              <a:prstDash val="sysDash"/>
            </a:ln>
          </c:spPr>
          <c:marker>
            <c:symbol val="none"/>
          </c:marker>
          <c:xVal>
            <c:numRef>
              <c:f>Bode_Plot!$CG$50:$CG$150</c:f>
              <c:numCache>
                <c:formatCode>General</c:formatCode>
                <c:ptCount val="101"/>
                <c:pt idx="0">
                  <c:v>100</c:v>
                </c:pt>
                <c:pt idx="1">
                  <c:v>109.647819614318</c:v>
                </c:pt>
                <c:pt idx="2">
                  <c:v>120.226443461741</c:v>
                </c:pt>
                <c:pt idx="3">
                  <c:v>131.82567385563999</c:v>
                </c:pt>
                <c:pt idx="4">
                  <c:v>144.54397707459199</c:v>
                </c:pt>
                <c:pt idx="5">
                  <c:v>158.48931924611099</c:v>
                </c:pt>
                <c:pt idx="6">
                  <c:v>173.78008287493699</c:v>
                </c:pt>
                <c:pt idx="7">
                  <c:v>190.54607179632399</c:v>
                </c:pt>
                <c:pt idx="8">
                  <c:v>208.92961308540299</c:v>
                </c:pt>
                <c:pt idx="9">
                  <c:v>229.08676527677699</c:v>
                </c:pt>
                <c:pt idx="10">
                  <c:v>251.188643150958</c:v>
                </c:pt>
                <c:pt idx="11">
                  <c:v>275.42287033381598</c:v>
                </c:pt>
                <c:pt idx="12">
                  <c:v>301.995172040201</c:v>
                </c:pt>
                <c:pt idx="13">
                  <c:v>331.13112148259103</c:v>
                </c:pt>
                <c:pt idx="14">
                  <c:v>363.07805477010101</c:v>
                </c:pt>
                <c:pt idx="15">
                  <c:v>398.10717055349699</c:v>
                </c:pt>
                <c:pt idx="16">
                  <c:v>436.51583224016503</c:v>
                </c:pt>
                <c:pt idx="17">
                  <c:v>478.63009232263801</c:v>
                </c:pt>
                <c:pt idx="18">
                  <c:v>524.80746024977202</c:v>
                </c:pt>
                <c:pt idx="19">
                  <c:v>575.43993733715604</c:v>
                </c:pt>
                <c:pt idx="20">
                  <c:v>630.957344480193</c:v>
                </c:pt>
                <c:pt idx="21">
                  <c:v>691.83097091893603</c:v>
                </c:pt>
                <c:pt idx="22">
                  <c:v>758.57757502918298</c:v>
                </c:pt>
                <c:pt idx="23">
                  <c:v>831.76377110267094</c:v>
                </c:pt>
                <c:pt idx="24">
                  <c:v>912.01083935590896</c:v>
                </c:pt>
                <c:pt idx="25">
                  <c:v>1000</c:v>
                </c:pt>
                <c:pt idx="26">
                  <c:v>1096.47819614318</c:v>
                </c:pt>
                <c:pt idx="27">
                  <c:v>1202.26443461741</c:v>
                </c:pt>
                <c:pt idx="28">
                  <c:v>1318.2567385564</c:v>
                </c:pt>
                <c:pt idx="29">
                  <c:v>1445.43977074592</c:v>
                </c:pt>
                <c:pt idx="30">
                  <c:v>1584.8931924611099</c:v>
                </c:pt>
                <c:pt idx="31">
                  <c:v>1737.8008287493701</c:v>
                </c:pt>
                <c:pt idx="32">
                  <c:v>1905.4607179632401</c:v>
                </c:pt>
                <c:pt idx="33">
                  <c:v>2089.2961308540298</c:v>
                </c:pt>
                <c:pt idx="34">
                  <c:v>2290.8676527677699</c:v>
                </c:pt>
                <c:pt idx="35">
                  <c:v>2511.8864315095698</c:v>
                </c:pt>
                <c:pt idx="36">
                  <c:v>2754.2287033381599</c:v>
                </c:pt>
                <c:pt idx="37">
                  <c:v>3019.9517204020099</c:v>
                </c:pt>
                <c:pt idx="38">
                  <c:v>3311.3112148259102</c:v>
                </c:pt>
                <c:pt idx="39">
                  <c:v>3630.7805477010102</c:v>
                </c:pt>
                <c:pt idx="40">
                  <c:v>3981.0717055349701</c:v>
                </c:pt>
                <c:pt idx="41">
                  <c:v>4365.1583224016504</c:v>
                </c:pt>
                <c:pt idx="42">
                  <c:v>4786.3009232263803</c:v>
                </c:pt>
                <c:pt idx="43">
                  <c:v>5248.0746024977198</c:v>
                </c:pt>
                <c:pt idx="44">
                  <c:v>5754.3993733715597</c:v>
                </c:pt>
                <c:pt idx="45">
                  <c:v>6309.5734448019302</c:v>
                </c:pt>
                <c:pt idx="46">
                  <c:v>6918.3097091893596</c:v>
                </c:pt>
                <c:pt idx="47">
                  <c:v>7585.7757502918303</c:v>
                </c:pt>
                <c:pt idx="48">
                  <c:v>8317.6377110267003</c:v>
                </c:pt>
                <c:pt idx="49">
                  <c:v>9120.1083935590905</c:v>
                </c:pt>
                <c:pt idx="50">
                  <c:v>10000</c:v>
                </c:pt>
                <c:pt idx="51">
                  <c:v>10964.7819614318</c:v>
                </c:pt>
                <c:pt idx="52">
                  <c:v>12022.6443461741</c:v>
                </c:pt>
                <c:pt idx="53">
                  <c:v>13182.567385564</c:v>
                </c:pt>
                <c:pt idx="54">
                  <c:v>14454.3977074592</c:v>
                </c:pt>
                <c:pt idx="55">
                  <c:v>15848.931924611101</c:v>
                </c:pt>
                <c:pt idx="56">
                  <c:v>17378.0082874937</c:v>
                </c:pt>
                <c:pt idx="57">
                  <c:v>19054.607179632399</c:v>
                </c:pt>
                <c:pt idx="58">
                  <c:v>20892.9613085403</c:v>
                </c:pt>
                <c:pt idx="59">
                  <c:v>22908.676527677701</c:v>
                </c:pt>
                <c:pt idx="60">
                  <c:v>25118.8643150957</c:v>
                </c:pt>
                <c:pt idx="61">
                  <c:v>27542.287033381599</c:v>
                </c:pt>
                <c:pt idx="62">
                  <c:v>30199.5172040201</c:v>
                </c:pt>
                <c:pt idx="63">
                  <c:v>33113.112148259097</c:v>
                </c:pt>
                <c:pt idx="64">
                  <c:v>36307.805477010101</c:v>
                </c:pt>
                <c:pt idx="65">
                  <c:v>39810.717055349698</c:v>
                </c:pt>
                <c:pt idx="66">
                  <c:v>43651.583224016598</c:v>
                </c:pt>
                <c:pt idx="67">
                  <c:v>47863.009232263801</c:v>
                </c:pt>
                <c:pt idx="68">
                  <c:v>52480.746024977198</c:v>
                </c:pt>
                <c:pt idx="69">
                  <c:v>57543.993733715601</c:v>
                </c:pt>
                <c:pt idx="70">
                  <c:v>63095.734448019197</c:v>
                </c:pt>
                <c:pt idx="71">
                  <c:v>69183.097091893593</c:v>
                </c:pt>
                <c:pt idx="72">
                  <c:v>75857.757502918306</c:v>
                </c:pt>
                <c:pt idx="73">
                  <c:v>83176.377110267</c:v>
                </c:pt>
                <c:pt idx="74">
                  <c:v>91201.083935590897</c:v>
                </c:pt>
                <c:pt idx="75">
                  <c:v>100000</c:v>
                </c:pt>
                <c:pt idx="76">
                  <c:v>109647.819614318</c:v>
                </c:pt>
                <c:pt idx="77">
                  <c:v>120226.443461741</c:v>
                </c:pt>
                <c:pt idx="78">
                  <c:v>131825.67385563999</c:v>
                </c:pt>
                <c:pt idx="79">
                  <c:v>144543.977074592</c:v>
                </c:pt>
                <c:pt idx="80">
                  <c:v>158489.319246111</c:v>
                </c:pt>
                <c:pt idx="81">
                  <c:v>173780.08287493701</c:v>
                </c:pt>
                <c:pt idx="82">
                  <c:v>190546.07179632399</c:v>
                </c:pt>
                <c:pt idx="83">
                  <c:v>208929.61308540299</c:v>
                </c:pt>
                <c:pt idx="84">
                  <c:v>229086.76527677701</c:v>
                </c:pt>
                <c:pt idx="85">
                  <c:v>251188.64315095701</c:v>
                </c:pt>
                <c:pt idx="86">
                  <c:v>275422.87033381598</c:v>
                </c:pt>
                <c:pt idx="87">
                  <c:v>301995.17204020103</c:v>
                </c:pt>
                <c:pt idx="88">
                  <c:v>331131.12148259103</c:v>
                </c:pt>
                <c:pt idx="89">
                  <c:v>363078.05477010098</c:v>
                </c:pt>
                <c:pt idx="90">
                  <c:v>398107.17055349698</c:v>
                </c:pt>
                <c:pt idx="91">
                  <c:v>436515.83224016603</c:v>
                </c:pt>
                <c:pt idx="92">
                  <c:v>478630.09232263803</c:v>
                </c:pt>
                <c:pt idx="93">
                  <c:v>524807.46024977195</c:v>
                </c:pt>
                <c:pt idx="94">
                  <c:v>575439.93733715604</c:v>
                </c:pt>
                <c:pt idx="95">
                  <c:v>630957.34448019206</c:v>
                </c:pt>
                <c:pt idx="96">
                  <c:v>691830.97091893596</c:v>
                </c:pt>
                <c:pt idx="97">
                  <c:v>758577.57502918295</c:v>
                </c:pt>
                <c:pt idx="98">
                  <c:v>831763.77110267</c:v>
                </c:pt>
                <c:pt idx="99">
                  <c:v>912010.83935590903</c:v>
                </c:pt>
                <c:pt idx="100">
                  <c:v>1000000</c:v>
                </c:pt>
              </c:numCache>
            </c:numRef>
          </c:xVal>
          <c:yVal>
            <c:numRef>
              <c:f>Bode_Plot!$CI$50:$CI$150</c:f>
              <c:numCache>
                <c:formatCode>General</c:formatCode>
                <c:ptCount val="101"/>
                <c:pt idx="0">
                  <c:v>-0.78202426873220099</c:v>
                </c:pt>
                <c:pt idx="1">
                  <c:v>-0.85748733739624206</c:v>
                </c:pt>
                <c:pt idx="2">
                  <c:v>-0.94023565005123999</c:v>
                </c:pt>
                <c:pt idx="3">
                  <c:v>-1.03097357079403</c:v>
                </c:pt>
                <c:pt idx="4">
                  <c:v>-1.13047389592582</c:v>
                </c:pt>
                <c:pt idx="5">
                  <c:v>-1.2395846078143</c:v>
                </c:pt>
                <c:pt idx="6">
                  <c:v>-1.35923632863245</c:v>
                </c:pt>
                <c:pt idx="7">
                  <c:v>-1.4904505568526101</c:v>
                </c:pt>
                <c:pt idx="8">
                  <c:v>-1.63434878229776</c:v>
                </c:pt>
                <c:pt idx="9">
                  <c:v>-1.7921625912213099</c:v>
                </c:pt>
                <c:pt idx="10">
                  <c:v>-1.9652448921655601</c:v>
                </c:pt>
                <c:pt idx="11">
                  <c:v>-2.1550824171797198</c:v>
                </c:pt>
                <c:pt idx="12">
                  <c:v>-2.3633096827265598</c:v>
                </c:pt>
                <c:pt idx="13">
                  <c:v>-2.5917246318927898</c:v>
                </c:pt>
                <c:pt idx="14">
                  <c:v>-2.8423062266709702</c:v>
                </c:pt>
                <c:pt idx="15">
                  <c:v>-3.1172343190188498</c:v>
                </c:pt>
                <c:pt idx="16">
                  <c:v>-3.4189122059863499</c:v>
                </c:pt>
                <c:pt idx="17">
                  <c:v>-3.7499923724454001</c:v>
                </c:pt>
                <c:pt idx="18">
                  <c:v>-4.1134060517336604</c:v>
                </c:pt>
                <c:pt idx="19">
                  <c:v>-4.5123973984171704</c:v>
                </c:pt>
                <c:pt idx="20">
                  <c:v>-4.9505632802057304</c:v>
                </c:pt>
                <c:pt idx="21">
                  <c:v>-5.4318999727574004</c:v>
                </c:pt>
                <c:pt idx="22">
                  <c:v>-5.96085840237585</c:v>
                </c:pt>
                <c:pt idx="23">
                  <c:v>-6.5424100529092</c:v>
                </c:pt>
                <c:pt idx="24">
                  <c:v>-7.1821262699722999</c:v>
                </c:pt>
                <c:pt idx="25">
                  <c:v>-7.8862745020831904</c:v>
                </c:pt>
                <c:pt idx="26">
                  <c:v>-8.6619360728735408</c:v>
                </c:pt>
                <c:pt idx="27">
                  <c:v>-9.5171514546649991</c:v>
                </c:pt>
                <c:pt idx="28">
                  <c:v>-10.461100802816199</c:v>
                </c:pt>
                <c:pt idx="29">
                  <c:v>-11.5043298210944</c:v>
                </c:pt>
                <c:pt idx="30">
                  <c:v>-12.659033979512101</c:v>
                </c:pt>
                <c:pt idx="31">
                  <c:v>-13.9394178044416</c:v>
                </c:pt>
                <c:pt idx="32">
                  <c:v>-15.3621504461338</c:v>
                </c:pt>
                <c:pt idx="33">
                  <c:v>-16.9469438499912</c:v>
                </c:pt>
                <c:pt idx="34">
                  <c:v>-18.7172850087725</c:v>
                </c:pt>
                <c:pt idx="35">
                  <c:v>-20.7013573399894</c:v>
                </c:pt>
                <c:pt idx="36">
                  <c:v>-22.933184491956499</c:v>
                </c:pt>
                <c:pt idx="37">
                  <c:v>-25.454014819715798</c:v>
                </c:pt>
                <c:pt idx="38">
                  <c:v>-28.313920020571501</c:v>
                </c:pt>
                <c:pt idx="39">
                  <c:v>-31.573475129335201</c:v>
                </c:pt>
                <c:pt idx="40">
                  <c:v>-35.305161211997898</c:v>
                </c:pt>
                <c:pt idx="41">
                  <c:v>-39.593692061361999</c:v>
                </c:pt>
                <c:pt idx="42">
                  <c:v>-44.533691477717703</c:v>
                </c:pt>
                <c:pt idx="43">
                  <c:v>-50.221990500752497</c:v>
                </c:pt>
                <c:pt idx="44">
                  <c:v>-56.740635672164899</c:v>
                </c:pt>
                <c:pt idx="45">
                  <c:v>-64.126994892346005</c:v>
                </c:pt>
                <c:pt idx="46">
                  <c:v>-72.332365568409898</c:v>
                </c:pt>
                <c:pt idx="47">
                  <c:v>-81.1831745225535</c:v>
                </c:pt>
                <c:pt idx="48">
                  <c:v>-90.373642165811603</c:v>
                </c:pt>
                <c:pt idx="49">
                  <c:v>-99.515043564971606</c:v>
                </c:pt>
                <c:pt idx="50">
                  <c:v>-108.229911833285</c:v>
                </c:pt>
                <c:pt idx="51">
                  <c:v>-116.239721102213</c:v>
                </c:pt>
                <c:pt idx="52">
                  <c:v>-123.400767888722</c:v>
                </c:pt>
                <c:pt idx="53">
                  <c:v>-129.68696950474299</c:v>
                </c:pt>
                <c:pt idx="54">
                  <c:v>-135.14839998355001</c:v>
                </c:pt>
                <c:pt idx="55">
                  <c:v>-139.87181959043201</c:v>
                </c:pt>
                <c:pt idx="56">
                  <c:v>-143.953834358774</c:v>
                </c:pt>
                <c:pt idx="57">
                  <c:v>-147.48635086392201</c:v>
                </c:pt>
                <c:pt idx="58">
                  <c:v>-150.55037654456001</c:v>
                </c:pt>
                <c:pt idx="59">
                  <c:v>-153.21447026777801</c:v>
                </c:pt>
                <c:pt idx="60">
                  <c:v>-155.53539664216899</c:v>
                </c:pt>
                <c:pt idx="61">
                  <c:v>-157.55961765230401</c:v>
                </c:pt>
                <c:pt idx="62">
                  <c:v>-159.32494519812099</c:v>
                </c:pt>
                <c:pt idx="63">
                  <c:v>-160.86205976785499</c:v>
                </c:pt>
                <c:pt idx="64">
                  <c:v>-162.195792207332</c:v>
                </c:pt>
                <c:pt idx="65">
                  <c:v>-163.34615337047501</c:v>
                </c:pt>
                <c:pt idx="66">
                  <c:v>-164.32913144810499</c:v>
                </c:pt>
                <c:pt idx="67">
                  <c:v>-165.157286537456</c:v>
                </c:pt>
                <c:pt idx="68">
                  <c:v>-165.84017056952001</c:v>
                </c:pt>
                <c:pt idx="69">
                  <c:v>-166.38459500888101</c:v>
                </c:pt>
                <c:pt idx="70">
                  <c:v>-166.794762462877</c:v>
                </c:pt>
                <c:pt idx="71">
                  <c:v>-167.07227440915199</c:v>
                </c:pt>
                <c:pt idx="72">
                  <c:v>-167.20997335207099</c:v>
                </c:pt>
                <c:pt idx="73">
                  <c:v>-167.21605758933501</c:v>
                </c:pt>
                <c:pt idx="74">
                  <c:v>-167.07717372485899</c:v>
                </c:pt>
                <c:pt idx="75">
                  <c:v>-166.78344851492699</c:v>
                </c:pt>
                <c:pt idx="76">
                  <c:v>-166.34125348552601</c:v>
                </c:pt>
                <c:pt idx="77">
                  <c:v>-165.71195356243899</c:v>
                </c:pt>
                <c:pt idx="78">
                  <c:v>-164.92029352844801</c:v>
                </c:pt>
                <c:pt idx="79">
                  <c:v>-164.02594972177701</c:v>
                </c:pt>
                <c:pt idx="80">
                  <c:v>-163.31701292795799</c:v>
                </c:pt>
                <c:pt idx="81">
                  <c:v>-163.624385669221</c:v>
                </c:pt>
                <c:pt idx="82">
                  <c:v>-167.297652623217</c:v>
                </c:pt>
                <c:pt idx="83">
                  <c:v>-178.76544785589701</c:v>
                </c:pt>
                <c:pt idx="84">
                  <c:v>-195.872050604062</c:v>
                </c:pt>
                <c:pt idx="85">
                  <c:v>-206.33654805974501</c:v>
                </c:pt>
                <c:pt idx="86">
                  <c:v>-210.546087767584</c:v>
                </c:pt>
                <c:pt idx="87">
                  <c:v>-214.74390118497001</c:v>
                </c:pt>
                <c:pt idx="88">
                  <c:v>-224.70466933092101</c:v>
                </c:pt>
                <c:pt idx="89">
                  <c:v>-252.50748658614501</c:v>
                </c:pt>
                <c:pt idx="90">
                  <c:v>-228.48699802079199</c:v>
                </c:pt>
                <c:pt idx="91">
                  <c:v>-55.123584093307997</c:v>
                </c:pt>
                <c:pt idx="92">
                  <c:v>-82.024731494926897</c:v>
                </c:pt>
                <c:pt idx="93">
                  <c:v>-81.192829118705802</c:v>
                </c:pt>
                <c:pt idx="94">
                  <c:v>-68.287005202832802</c:v>
                </c:pt>
                <c:pt idx="95">
                  <c:v>-175.72625131924499</c:v>
                </c:pt>
                <c:pt idx="96">
                  <c:v>-157.90675670888601</c:v>
                </c:pt>
                <c:pt idx="97">
                  <c:v>-175.53289696932001</c:v>
                </c:pt>
                <c:pt idx="98">
                  <c:v>-329.60871974549002</c:v>
                </c:pt>
                <c:pt idx="99">
                  <c:v>-365.19808213867799</c:v>
                </c:pt>
                <c:pt idx="100">
                  <c:v>-414.57105194387202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401-4B5D-97C2-9FEE362C993E}"/>
            </c:ext>
          </c:extLst>
        </c:ser>
        <c:ser>
          <c:idx val="6"/>
          <c:order val="6"/>
          <c:tx>
            <c:v>1V2, 30A, 500k, 1ph</c:v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xVal>
            <c:numRef>
              <c:f>Bode_Plot!$CQ$50:$CQ$177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Bode_Plot!$CS$50:$CS$177</c:f>
              <c:numCache>
                <c:formatCode>General</c:formatCode>
                <c:ptCount val="128"/>
                <c:pt idx="0">
                  <c:v>-8.9201017433354346E-2</c:v>
                </c:pt>
                <c:pt idx="1">
                  <c:v>-0.447057674080933</c:v>
                </c:pt>
                <c:pt idx="2">
                  <c:v>-0.89195745605391163</c:v>
                </c:pt>
                <c:pt idx="3">
                  <c:v>-0.9780000942328958</c:v>
                </c:pt>
                <c:pt idx="4">
                  <c:v>-1.0723402137095921</c:v>
                </c:pt>
                <c:pt idx="5">
                  <c:v>-1.1757771452291261</c:v>
                </c:pt>
                <c:pt idx="6">
                  <c:v>-1.2891869573983981</c:v>
                </c:pt>
                <c:pt idx="7">
                  <c:v>-1.4135297394023603</c:v>
                </c:pt>
                <c:pt idx="8">
                  <c:v>-1.5498575479895924</c:v>
                </c:pt>
                <c:pt idx="9">
                  <c:v>-1.6993230706637181</c:v>
                </c:pt>
                <c:pt idx="10">
                  <c:v>-1.8631890581941217</c:v>
                </c:pt>
                <c:pt idx="11">
                  <c:v>-2.042838579647678</c:v>
                </c:pt>
                <c:pt idx="12">
                  <c:v>-2.239786151667583</c:v>
                </c:pt>
                <c:pt idx="13">
                  <c:v>-2.455689790051979</c:v>
                </c:pt>
                <c:pt idx="14">
                  <c:v>-2.6923640249743945</c:v>
                </c:pt>
                <c:pt idx="15">
                  <c:v>-2.9517939103377966</c:v>
                </c:pt>
                <c:pt idx="16">
                  <c:v>-3.2361500413204416</c:v>
                </c:pt>
                <c:pt idx="17">
                  <c:v>-3.5478045702816741</c:v>
                </c:pt>
                <c:pt idx="18">
                  <c:v>-3.8893481774283822</c:v>
                </c:pt>
                <c:pt idx="19">
                  <c:v>-4.2636079059026271</c:v>
                </c:pt>
                <c:pt idx="20">
                  <c:v>-4.6736657073067356</c:v>
                </c:pt>
                <c:pt idx="21">
                  <c:v>-5.1228774582083085</c:v>
                </c:pt>
                <c:pt idx="22">
                  <c:v>-5.614892094771526</c:v>
                </c:pt>
                <c:pt idx="23">
                  <c:v>-6.1536703639464685</c:v>
                </c:pt>
                <c:pt idx="24">
                  <c:v>-6.7435024968634352</c:v>
                </c:pt>
                <c:pt idx="25">
                  <c:v>-7.3890238631989833</c:v>
                </c:pt>
                <c:pt idx="26">
                  <c:v>-8.0952273534257202</c:v>
                </c:pt>
                <c:pt idx="27">
                  <c:v>-8.8674708481512994</c:v>
                </c:pt>
                <c:pt idx="28">
                  <c:v>-9.7114776610099671</c:v>
                </c:pt>
                <c:pt idx="29">
                  <c:v>-10.633327279138772</c:v>
                </c:pt>
                <c:pt idx="30">
                  <c:v>-11.639433077592505</c:v>
                </c:pt>
                <c:pt idx="31">
                  <c:v>-12.7365029715377</c:v>
                </c:pt>
                <c:pt idx="32">
                  <c:v>-13.931478238767852</c:v>
                </c:pt>
                <c:pt idx="33">
                  <c:v>-15.231445079639514</c:v>
                </c:pt>
                <c:pt idx="34">
                  <c:v>-16.643513020460336</c:v>
                </c:pt>
                <c:pt idx="35">
                  <c:v>-18.174654217996785</c:v>
                </c:pt>
                <c:pt idx="36">
                  <c:v>-19.831498376365634</c:v>
                </c:pt>
                <c:pt idx="37">
                  <c:v>-21.620079710795231</c:v>
                </c:pt>
                <c:pt idx="38">
                  <c:v>-23.545535601075844</c:v>
                </c:pt>
                <c:pt idx="39">
                  <c:v>-25.611761657597185</c:v>
                </c:pt>
                <c:pt idx="40">
                  <c:v>-27.821035092149813</c:v>
                </c:pt>
                <c:pt idx="41">
                  <c:v>-30.1736273840101</c:v>
                </c:pt>
                <c:pt idx="42">
                  <c:v>-32.667437471086764</c:v>
                </c:pt>
                <c:pt idx="43">
                  <c:v>-35.297686447007329</c:v>
                </c:pt>
                <c:pt idx="44">
                  <c:v>-38.05672150198928</c:v>
                </c:pt>
                <c:pt idx="45">
                  <c:v>-40.933977539629069</c:v>
                </c:pt>
                <c:pt idx="46">
                  <c:v>-43.916136684086986</c:v>
                </c:pt>
                <c:pt idx="47">
                  <c:v>-46.987507310744149</c:v>
                </c:pt>
                <c:pt idx="48">
                  <c:v>-50.130616437868234</c:v>
                </c:pt>
                <c:pt idx="49">
                  <c:v>-53.326976661652317</c:v>
                </c:pt>
                <c:pt idx="50">
                  <c:v>-56.557958266821224</c:v>
                </c:pt>
                <c:pt idx="51">
                  <c:v>-59.805676346416867</c:v>
                </c:pt>
                <c:pt idx="52">
                  <c:v>-63.05379740389003</c:v>
                </c:pt>
                <c:pt idx="53">
                  <c:v>-66.28818155135923</c:v>
                </c:pt>
                <c:pt idx="54">
                  <c:v>-69.497301923135538</c:v>
                </c:pt>
                <c:pt idx="55">
                  <c:v>-72.6724157753805</c:v>
                </c:pt>
                <c:pt idx="56">
                  <c:v>-75.807494554005174</c:v>
                </c:pt>
                <c:pt idx="57">
                  <c:v>-78.898947181446943</c:v>
                </c:pt>
                <c:pt idx="58">
                  <c:v>-81.945189081642553</c:v>
                </c:pt>
                <c:pt idx="59">
                  <c:v>-84.946119061920484</c:v>
                </c:pt>
                <c:pt idx="60">
                  <c:v>-87.902568914477058</c:v>
                </c:pt>
                <c:pt idx="61">
                  <c:v>-90.815788617089581</c:v>
                </c:pt>
                <c:pt idx="62">
                  <c:v>-93.687024533519249</c:v>
                </c:pt>
                <c:pt idx="63">
                  <c:v>-96.517238797311009</c:v>
                </c:pt>
                <c:pt idx="64">
                  <c:v>-99.307003612936398</c:v>
                </c:pt>
                <c:pt idx="65">
                  <c:v>-102.05658276625033</c:v>
                </c:pt>
                <c:pt idx="66">
                  <c:v>-104.76618372041538</c:v>
                </c:pt>
                <c:pt idx="67">
                  <c:v>-107.43632966890027</c:v>
                </c:pt>
                <c:pt idx="68">
                  <c:v>-110.06826792593979</c:v>
                </c:pt>
                <c:pt idx="69">
                  <c:v>-112.66430816521697</c:v>
                </c:pt>
                <c:pt idx="70">
                  <c:v>-115.22798077204247</c:v>
                </c:pt>
                <c:pt idx="71">
                  <c:v>-117.76392797393859</c:v>
                </c:pt>
                <c:pt idx="72">
                  <c:v>-120.27748750063508</c:v>
                </c:pt>
                <c:pt idx="73">
                  <c:v>-122.7739911531215</c:v>
                </c:pt>
                <c:pt idx="74">
                  <c:v>-125.25786361402751</c:v>
                </c:pt>
                <c:pt idx="75">
                  <c:v>-127.73165358574498</c:v>
                </c:pt>
                <c:pt idx="76">
                  <c:v>-130.19514743152337</c:v>
                </c:pt>
                <c:pt idx="77">
                  <c:v>-132.6447001823245</c:v>
                </c:pt>
                <c:pt idx="78">
                  <c:v>-135.0728738308037</c:v>
                </c:pt>
                <c:pt idx="79">
                  <c:v>-137.46840867737853</c:v>
                </c:pt>
                <c:pt idx="80">
                  <c:v>-139.8164838133689</c:v>
                </c:pt>
                <c:pt idx="81">
                  <c:v>-142.09916089046973</c:v>
                </c:pt>
                <c:pt idx="82">
                  <c:v>-144.29586068980353</c:v>
                </c:pt>
                <c:pt idx="83">
                  <c:v>-146.38369810952733</c:v>
                </c:pt>
                <c:pt idx="84">
                  <c:v>-148.3374942621777</c:v>
                </c:pt>
                <c:pt idx="85">
                  <c:v>-150.12928380993196</c:v>
                </c:pt>
                <c:pt idx="86">
                  <c:v>-151.72712554152221</c:v>
                </c:pt>
                <c:pt idx="87">
                  <c:v>-153.09298482602429</c:v>
                </c:pt>
                <c:pt idx="88">
                  <c:v>-154.17936500763039</c:v>
                </c:pt>
                <c:pt idx="89">
                  <c:v>-154.92419422000032</c:v>
                </c:pt>
                <c:pt idx="90">
                  <c:v>-155.24319631546325</c:v>
                </c:pt>
                <c:pt idx="91">
                  <c:v>-155.01858271742299</c:v>
                </c:pt>
                <c:pt idx="92">
                  <c:v>-154.08251345066395</c:v>
                </c:pt>
                <c:pt idx="93">
                  <c:v>-152.19401565563999</c:v>
                </c:pt>
                <c:pt idx="94">
                  <c:v>-149.01131153650692</c:v>
                </c:pt>
                <c:pt idx="95">
                  <c:v>-144.07539286646085</c:v>
                </c:pt>
                <c:pt idx="96">
                  <c:v>-136.86282395436953</c:v>
                </c:pt>
                <c:pt idx="97">
                  <c:v>-127.043527518462</c:v>
                </c:pt>
                <c:pt idx="98">
                  <c:v>-115.04151833231475</c:v>
                </c:pt>
                <c:pt idx="99">
                  <c:v>-125.70963312800666</c:v>
                </c:pt>
                <c:pt idx="100">
                  <c:v>-141.9479185217248</c:v>
                </c:pt>
                <c:pt idx="101">
                  <c:v>-155.82797596017409</c:v>
                </c:pt>
                <c:pt idx="102">
                  <c:v>-167.28280095845034</c:v>
                </c:pt>
                <c:pt idx="103">
                  <c:v>-176.75502386145976</c:v>
                </c:pt>
                <c:pt idx="104">
                  <c:v>-175.2565431910169</c:v>
                </c:pt>
                <c:pt idx="105">
                  <c:v>-168.355340705072</c:v>
                </c:pt>
                <c:pt idx="106">
                  <c:v>-162.2613490203193</c:v>
                </c:pt>
                <c:pt idx="107">
                  <c:v>-156.78598169938803</c:v>
                </c:pt>
                <c:pt idx="108">
                  <c:v>-151.80470915159091</c:v>
                </c:pt>
                <c:pt idx="109">
                  <c:v>-147.23588715465425</c:v>
                </c:pt>
                <c:pt idx="110">
                  <c:v>-143.02589626548564</c:v>
                </c:pt>
                <c:pt idx="111">
                  <c:v>-139.13906165157294</c:v>
                </c:pt>
                <c:pt idx="112">
                  <c:v>-135.55092353880127</c:v>
                </c:pt>
                <c:pt idx="113">
                  <c:v>-132.24381065720891</c:v>
                </c:pt>
                <c:pt idx="114">
                  <c:v>-129.20399239387399</c:v>
                </c:pt>
                <c:pt idx="115">
                  <c:v>-126.41991028327988</c:v>
                </c:pt>
                <c:pt idx="116">
                  <c:v>-123.88113984276009</c:v>
                </c:pt>
                <c:pt idx="117">
                  <c:v>-121.57783609035494</c:v>
                </c:pt>
                <c:pt idx="118">
                  <c:v>-119.50048831514603</c:v>
                </c:pt>
                <c:pt idx="119">
                  <c:v>-117.63986225559484</c:v>
                </c:pt>
                <c:pt idx="120">
                  <c:v>-115.98704661520567</c:v>
                </c:pt>
                <c:pt idx="121">
                  <c:v>-114.53354924880354</c:v>
                </c:pt>
                <c:pt idx="122">
                  <c:v>-113.27140870930953</c:v>
                </c:pt>
                <c:pt idx="123">
                  <c:v>-112.19330095196371</c:v>
                </c:pt>
                <c:pt idx="124">
                  <c:v>-111.29263034260335</c:v>
                </c:pt>
                <c:pt idx="125">
                  <c:v>-110.56359995213371</c:v>
                </c:pt>
                <c:pt idx="126">
                  <c:v>-110.00125944516279</c:v>
                </c:pt>
                <c:pt idx="127">
                  <c:v>-109.60153046445458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401-4B5D-97C2-9FEE362C993E}"/>
            </c:ext>
          </c:extLst>
        </c:ser>
        <c:ser>
          <c:idx val="7"/>
          <c:order val="7"/>
          <c:tx>
            <c:v>...</c:v>
          </c:tx>
          <c:spPr>
            <a:ln>
              <a:solidFill>
                <a:srgbClr val="00B050"/>
              </a:solidFill>
              <a:prstDash val="sysDash"/>
            </a:ln>
          </c:spPr>
          <c:marker>
            <c:symbol val="none"/>
          </c:marker>
          <c:xVal>
            <c:numRef>
              <c:f>Bode_Plot!$CN$50:$CN$150</c:f>
              <c:numCache>
                <c:formatCode>General</c:formatCode>
                <c:ptCount val="101"/>
                <c:pt idx="0">
                  <c:v>100</c:v>
                </c:pt>
                <c:pt idx="1">
                  <c:v>109.647819614318</c:v>
                </c:pt>
                <c:pt idx="2">
                  <c:v>120.226443461741</c:v>
                </c:pt>
                <c:pt idx="3">
                  <c:v>131.82567385563999</c:v>
                </c:pt>
                <c:pt idx="4">
                  <c:v>144.54397707459199</c:v>
                </c:pt>
                <c:pt idx="5">
                  <c:v>158.48931924611099</c:v>
                </c:pt>
                <c:pt idx="6">
                  <c:v>173.78008287493699</c:v>
                </c:pt>
                <c:pt idx="7">
                  <c:v>190.54607179632399</c:v>
                </c:pt>
                <c:pt idx="8">
                  <c:v>208.92961308540299</c:v>
                </c:pt>
                <c:pt idx="9">
                  <c:v>229.08676527677699</c:v>
                </c:pt>
                <c:pt idx="10">
                  <c:v>251.188643150958</c:v>
                </c:pt>
                <c:pt idx="11">
                  <c:v>275.42287033381598</c:v>
                </c:pt>
                <c:pt idx="12">
                  <c:v>301.995172040201</c:v>
                </c:pt>
                <c:pt idx="13">
                  <c:v>331.13112148259103</c:v>
                </c:pt>
                <c:pt idx="14">
                  <c:v>363.07805477010101</c:v>
                </c:pt>
                <c:pt idx="15">
                  <c:v>398.10717055349699</c:v>
                </c:pt>
                <c:pt idx="16">
                  <c:v>436.51583224016503</c:v>
                </c:pt>
                <c:pt idx="17">
                  <c:v>478.63009232263801</c:v>
                </c:pt>
                <c:pt idx="18">
                  <c:v>524.80746024977202</c:v>
                </c:pt>
                <c:pt idx="19">
                  <c:v>575.43993733715604</c:v>
                </c:pt>
                <c:pt idx="20">
                  <c:v>630.957344480193</c:v>
                </c:pt>
                <c:pt idx="21">
                  <c:v>691.83097091893603</c:v>
                </c:pt>
                <c:pt idx="22">
                  <c:v>758.57757502918298</c:v>
                </c:pt>
                <c:pt idx="23">
                  <c:v>831.76377110267094</c:v>
                </c:pt>
                <c:pt idx="24">
                  <c:v>912.01083935590896</c:v>
                </c:pt>
                <c:pt idx="25">
                  <c:v>1000</c:v>
                </c:pt>
                <c:pt idx="26">
                  <c:v>1096.47819614318</c:v>
                </c:pt>
                <c:pt idx="27">
                  <c:v>1202.26443461741</c:v>
                </c:pt>
                <c:pt idx="28">
                  <c:v>1318.2567385564</c:v>
                </c:pt>
                <c:pt idx="29">
                  <c:v>1445.43977074592</c:v>
                </c:pt>
                <c:pt idx="30">
                  <c:v>1584.8931924611099</c:v>
                </c:pt>
                <c:pt idx="31">
                  <c:v>1737.8008287493701</c:v>
                </c:pt>
                <c:pt idx="32">
                  <c:v>1905.4607179632401</c:v>
                </c:pt>
                <c:pt idx="33">
                  <c:v>2089.2961308540298</c:v>
                </c:pt>
                <c:pt idx="34">
                  <c:v>2290.8676527677699</c:v>
                </c:pt>
                <c:pt idx="35">
                  <c:v>2511.8864315095698</c:v>
                </c:pt>
                <c:pt idx="36">
                  <c:v>2754.2287033381599</c:v>
                </c:pt>
                <c:pt idx="37">
                  <c:v>3019.9517204020099</c:v>
                </c:pt>
                <c:pt idx="38">
                  <c:v>3311.3112148259102</c:v>
                </c:pt>
                <c:pt idx="39">
                  <c:v>3630.7805477010102</c:v>
                </c:pt>
                <c:pt idx="40">
                  <c:v>3981.0717055349701</c:v>
                </c:pt>
                <c:pt idx="41">
                  <c:v>4365.1583224016504</c:v>
                </c:pt>
                <c:pt idx="42">
                  <c:v>4786.3009232263803</c:v>
                </c:pt>
                <c:pt idx="43">
                  <c:v>5248.0746024977198</c:v>
                </c:pt>
                <c:pt idx="44">
                  <c:v>5754.3993733715597</c:v>
                </c:pt>
                <c:pt idx="45">
                  <c:v>6309.5734448019302</c:v>
                </c:pt>
                <c:pt idx="46">
                  <c:v>6918.3097091893596</c:v>
                </c:pt>
                <c:pt idx="47">
                  <c:v>7585.7757502918303</c:v>
                </c:pt>
                <c:pt idx="48">
                  <c:v>8317.6377110267003</c:v>
                </c:pt>
                <c:pt idx="49">
                  <c:v>9120.1083935590905</c:v>
                </c:pt>
                <c:pt idx="50">
                  <c:v>10000</c:v>
                </c:pt>
                <c:pt idx="51">
                  <c:v>10964.7819614318</c:v>
                </c:pt>
                <c:pt idx="52">
                  <c:v>12022.6443461741</c:v>
                </c:pt>
                <c:pt idx="53">
                  <c:v>13182.567385564</c:v>
                </c:pt>
                <c:pt idx="54">
                  <c:v>14454.3977074592</c:v>
                </c:pt>
                <c:pt idx="55">
                  <c:v>15848.931924611101</c:v>
                </c:pt>
                <c:pt idx="56">
                  <c:v>17378.0082874937</c:v>
                </c:pt>
                <c:pt idx="57">
                  <c:v>19054.607179632399</c:v>
                </c:pt>
                <c:pt idx="58">
                  <c:v>20892.9613085403</c:v>
                </c:pt>
                <c:pt idx="59">
                  <c:v>22908.676527677701</c:v>
                </c:pt>
                <c:pt idx="60">
                  <c:v>25118.8643150957</c:v>
                </c:pt>
                <c:pt idx="61">
                  <c:v>27542.287033381599</c:v>
                </c:pt>
                <c:pt idx="62">
                  <c:v>30199.5172040201</c:v>
                </c:pt>
                <c:pt idx="63">
                  <c:v>33113.112148259097</c:v>
                </c:pt>
                <c:pt idx="64">
                  <c:v>36307.805477010101</c:v>
                </c:pt>
                <c:pt idx="65">
                  <c:v>39810.717055349698</c:v>
                </c:pt>
                <c:pt idx="66">
                  <c:v>43651.583224016598</c:v>
                </c:pt>
                <c:pt idx="67">
                  <c:v>47863.009232263801</c:v>
                </c:pt>
                <c:pt idx="68">
                  <c:v>52480.746024977198</c:v>
                </c:pt>
                <c:pt idx="69">
                  <c:v>57543.993733715601</c:v>
                </c:pt>
                <c:pt idx="70">
                  <c:v>63095.734448019197</c:v>
                </c:pt>
                <c:pt idx="71">
                  <c:v>69183.097091893593</c:v>
                </c:pt>
                <c:pt idx="72">
                  <c:v>75857.757502918306</c:v>
                </c:pt>
                <c:pt idx="73">
                  <c:v>83176.377110267</c:v>
                </c:pt>
                <c:pt idx="74">
                  <c:v>91201.083935590897</c:v>
                </c:pt>
                <c:pt idx="75">
                  <c:v>100000</c:v>
                </c:pt>
                <c:pt idx="76">
                  <c:v>109647.819614318</c:v>
                </c:pt>
                <c:pt idx="77">
                  <c:v>120226.443461741</c:v>
                </c:pt>
                <c:pt idx="78">
                  <c:v>131825.67385563999</c:v>
                </c:pt>
                <c:pt idx="79">
                  <c:v>144543.977074592</c:v>
                </c:pt>
                <c:pt idx="80">
                  <c:v>158489.319246111</c:v>
                </c:pt>
                <c:pt idx="81">
                  <c:v>173780.08287493701</c:v>
                </c:pt>
                <c:pt idx="82">
                  <c:v>190546.07179632399</c:v>
                </c:pt>
                <c:pt idx="83">
                  <c:v>208929.61308540299</c:v>
                </c:pt>
                <c:pt idx="84">
                  <c:v>229086.76527677701</c:v>
                </c:pt>
                <c:pt idx="85">
                  <c:v>251188.64315095701</c:v>
                </c:pt>
                <c:pt idx="86">
                  <c:v>275422.87033381598</c:v>
                </c:pt>
                <c:pt idx="87">
                  <c:v>301995.17204020103</c:v>
                </c:pt>
                <c:pt idx="88">
                  <c:v>331131.12148259103</c:v>
                </c:pt>
                <c:pt idx="89">
                  <c:v>363078.05477010098</c:v>
                </c:pt>
                <c:pt idx="90">
                  <c:v>398107.17055349698</c:v>
                </c:pt>
                <c:pt idx="91">
                  <c:v>436515.83224016603</c:v>
                </c:pt>
                <c:pt idx="92">
                  <c:v>478630.09232263803</c:v>
                </c:pt>
                <c:pt idx="93">
                  <c:v>524807.46024977195</c:v>
                </c:pt>
                <c:pt idx="94">
                  <c:v>575439.93733715604</c:v>
                </c:pt>
                <c:pt idx="95">
                  <c:v>630957.34448019206</c:v>
                </c:pt>
                <c:pt idx="96">
                  <c:v>691830.97091893596</c:v>
                </c:pt>
                <c:pt idx="97">
                  <c:v>758577.57502918295</c:v>
                </c:pt>
                <c:pt idx="98">
                  <c:v>831763.77110267</c:v>
                </c:pt>
                <c:pt idx="99">
                  <c:v>912010.83935590903</c:v>
                </c:pt>
                <c:pt idx="100">
                  <c:v>1000000</c:v>
                </c:pt>
              </c:numCache>
            </c:numRef>
          </c:xVal>
          <c:yVal>
            <c:numRef>
              <c:f>Bode_Plot!$CP$50:$CP$150</c:f>
              <c:numCache>
                <c:formatCode>General</c:formatCode>
                <c:ptCount val="101"/>
                <c:pt idx="0">
                  <c:v>-0.90363051877180101</c:v>
                </c:pt>
                <c:pt idx="1">
                  <c:v>-0.99079836377402597</c:v>
                </c:pt>
                <c:pt idx="2">
                  <c:v>-1.08637193329568</c:v>
                </c:pt>
                <c:pt idx="3">
                  <c:v>-1.1911609011047599</c:v>
                </c:pt>
                <c:pt idx="4">
                  <c:v>-1.3060526448957901</c:v>
                </c:pt>
                <c:pt idx="5">
                  <c:v>-1.4320196121086499</c:v>
                </c:pt>
                <c:pt idx="6">
                  <c:v>-1.57012735483373</c:v>
                </c:pt>
                <c:pt idx="7">
                  <c:v>-1.7215432851958901</c:v>
                </c:pt>
                <c:pt idx="8">
                  <c:v>-1.8875462034127299</c:v>
                </c:pt>
                <c:pt idx="9">
                  <c:v>-2.0695366503061701</c:v>
                </c:pt>
                <c:pt idx="10">
                  <c:v>-2.2690481339124</c:v>
                </c:pt>
                <c:pt idx="11">
                  <c:v>-2.48775927520634</c:v>
                </c:pt>
                <c:pt idx="12">
                  <c:v>-2.72750691009117</c:v>
                </c:pt>
                <c:pt idx="13">
                  <c:v>-2.9903001722786899</c:v>
                </c:pt>
                <c:pt idx="14">
                  <c:v>-3.27833556320881</c:v>
                </c:pt>
                <c:pt idx="15">
                  <c:v>-3.59401298843235</c:v>
                </c:pt>
                <c:pt idx="16">
                  <c:v>-3.9399527025145802</c:v>
                </c:pt>
                <c:pt idx="17">
                  <c:v>-4.3190130531282396</c:v>
                </c:pt>
                <c:pt idx="18">
                  <c:v>-4.7343088452779902</c:v>
                </c:pt>
                <c:pt idx="19">
                  <c:v>-5.1892300535313103</c:v>
                </c:pt>
                <c:pt idx="20">
                  <c:v>-5.6874604869167804</c:v>
                </c:pt>
                <c:pt idx="21">
                  <c:v>-6.2329958504410401</c:v>
                </c:pt>
                <c:pt idx="22">
                  <c:v>-6.8301604393849296</c:v>
                </c:pt>
                <c:pt idx="23">
                  <c:v>-7.4836214377081598</c:v>
                </c:pt>
                <c:pt idx="24">
                  <c:v>-8.1983994588903393</c:v>
                </c:pt>
                <c:pt idx="25">
                  <c:v>-8.9798735557390099</c:v>
                </c:pt>
                <c:pt idx="26">
                  <c:v>-9.8337784271805404</c:v>
                </c:pt>
                <c:pt idx="27">
                  <c:v>-10.766190962090301</c:v>
                </c:pt>
                <c:pt idx="28">
                  <c:v>-11.783502591323201</c:v>
                </c:pt>
                <c:pt idx="29">
                  <c:v>-12.892373196399101</c:v>
                </c:pt>
                <c:pt idx="30">
                  <c:v>-14.0996616024595</c:v>
                </c:pt>
                <c:pt idx="31">
                  <c:v>-15.4123270637703</c:v>
                </c:pt>
                <c:pt idx="32">
                  <c:v>-16.837295789506801</c:v>
                </c:pt>
                <c:pt idx="33">
                  <c:v>-18.3812866877782</c:v>
                </c:pt>
                <c:pt idx="34">
                  <c:v>-20.050591441249999</c:v>
                </c:pt>
                <c:pt idx="35">
                  <c:v>-21.850806154445401</c:v>
                </c:pt>
                <c:pt idx="36">
                  <c:v>-23.786515550401599</c:v>
                </c:pt>
                <c:pt idx="37">
                  <c:v>-25.860936396688999</c:v>
                </c:pt>
                <c:pt idx="38">
                  <c:v>-28.075534640464301</c:v>
                </c:pt>
                <c:pt idx="39">
                  <c:v>-30.4296403097539</c:v>
                </c:pt>
                <c:pt idx="40">
                  <c:v>-32.920094577626003</c:v>
                </c:pt>
                <c:pt idx="41">
                  <c:v>-35.540972589896</c:v>
                </c:pt>
                <c:pt idx="42">
                  <c:v>-38.283431003198402</c:v>
                </c:pt>
                <c:pt idx="43">
                  <c:v>-41.135727562849802</c:v>
                </c:pt>
                <c:pt idx="44">
                  <c:v>-44.083448897039098</c:v>
                </c:pt>
                <c:pt idx="45">
                  <c:v>-47.109961220010803</c:v>
                </c:pt>
                <c:pt idx="46">
                  <c:v>-50.197068893105303</c:v>
                </c:pt>
                <c:pt idx="47">
                  <c:v>-53.3258330323279</c:v>
                </c:pt>
                <c:pt idx="48">
                  <c:v>-56.477473973132902</c:v>
                </c:pt>
                <c:pt idx="49">
                  <c:v>-59.634264733170198</c:v>
                </c:pt>
                <c:pt idx="50">
                  <c:v>-62.780322249858997</c:v>
                </c:pt>
                <c:pt idx="51">
                  <c:v>-65.902219213056895</c:v>
                </c:pt>
                <c:pt idx="52">
                  <c:v>-68.989367348900402</c:v>
                </c:pt>
                <c:pt idx="53">
                  <c:v>-72.0341559123449</c:v>
                </c:pt>
                <c:pt idx="54">
                  <c:v>-75.0318597072458</c:v>
                </c:pt>
                <c:pt idx="55">
                  <c:v>-77.9803541388968</c:v>
                </c:pt>
                <c:pt idx="56">
                  <c:v>-80.879688728296998</c:v>
                </c:pt>
                <c:pt idx="57">
                  <c:v>-83.731576086326399</c:v>
                </c:pt>
                <c:pt idx="58">
                  <c:v>-86.538853024239202</c:v>
                </c:pt>
                <c:pt idx="59">
                  <c:v>-89.304966883414806</c:v>
                </c:pt>
                <c:pt idx="60">
                  <c:v>-92.033534964387798</c:v>
                </c:pt>
                <c:pt idx="61">
                  <c:v>-94.728018288487505</c:v>
                </c:pt>
                <c:pt idx="62">
                  <c:v>-97.391541599967496</c:v>
                </c:pt>
                <c:pt idx="63">
                  <c:v>-100.026877590685</c:v>
                </c:pt>
                <c:pt idx="64">
                  <c:v>-102.63659345525301</c:v>
                </c:pt>
                <c:pt idx="65">
                  <c:v>-105.223332796977</c:v>
                </c:pt>
                <c:pt idx="66">
                  <c:v>-107.790179622832</c:v>
                </c:pt>
                <c:pt idx="67">
                  <c:v>-110.341031110957</c:v>
                </c:pt>
                <c:pt idx="68">
                  <c:v>-112.88090125988499</c:v>
                </c:pt>
                <c:pt idx="69">
                  <c:v>-115.41609640080701</c:v>
                </c:pt>
                <c:pt idx="70">
                  <c:v>-117.954249053908</c:v>
                </c:pt>
                <c:pt idx="71">
                  <c:v>-120.504265156996</c:v>
                </c:pt>
                <c:pt idx="72">
                  <c:v>-123.07632201214</c:v>
                </c:pt>
                <c:pt idx="73">
                  <c:v>-125.682139599187</c:v>
                </c:pt>
                <c:pt idx="74">
                  <c:v>-128.33774106019101</c:v>
                </c:pt>
                <c:pt idx="75">
                  <c:v>-131.05803451172901</c:v>
                </c:pt>
                <c:pt idx="76">
                  <c:v>-133.87039242818</c:v>
                </c:pt>
                <c:pt idx="77">
                  <c:v>-136.81326535643001</c:v>
                </c:pt>
                <c:pt idx="78">
                  <c:v>-139.945580464047</c:v>
                </c:pt>
                <c:pt idx="79">
                  <c:v>-143.335213277951</c:v>
                </c:pt>
                <c:pt idx="80">
                  <c:v>-147.15461510108699</c:v>
                </c:pt>
                <c:pt idx="81">
                  <c:v>-151.57531751930799</c:v>
                </c:pt>
                <c:pt idx="82">
                  <c:v>-156.86002613392799</c:v>
                </c:pt>
                <c:pt idx="83">
                  <c:v>-163.203380400285</c:v>
                </c:pt>
                <c:pt idx="84">
                  <c:v>-170.73337438140999</c:v>
                </c:pt>
                <c:pt idx="85">
                  <c:v>-179.18721184084399</c:v>
                </c:pt>
                <c:pt idx="86">
                  <c:v>-187.894041666926</c:v>
                </c:pt>
                <c:pt idx="87">
                  <c:v>-196.19909240246699</c:v>
                </c:pt>
                <c:pt idx="88">
                  <c:v>-203.838488936858</c:v>
                </c:pt>
                <c:pt idx="89">
                  <c:v>-211.59393793706801</c:v>
                </c:pt>
                <c:pt idx="90">
                  <c:v>-222.03232181341301</c:v>
                </c:pt>
                <c:pt idx="91">
                  <c:v>-244.96973788992</c:v>
                </c:pt>
                <c:pt idx="92">
                  <c:v>-315.01404537351698</c:v>
                </c:pt>
                <c:pt idx="93">
                  <c:v>-326.249447378772</c:v>
                </c:pt>
                <c:pt idx="94">
                  <c:v>-392.78622894933301</c:v>
                </c:pt>
                <c:pt idx="95">
                  <c:v>-402.98965457548599</c:v>
                </c:pt>
                <c:pt idx="96">
                  <c:v>-404.50199287236802</c:v>
                </c:pt>
                <c:pt idx="97">
                  <c:v>-461.84068466529197</c:v>
                </c:pt>
                <c:pt idx="98">
                  <c:v>-496.269700448408</c:v>
                </c:pt>
                <c:pt idx="99">
                  <c:v>-507.88283734118897</c:v>
                </c:pt>
                <c:pt idx="100">
                  <c:v>-372.29500802030202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401-4B5D-97C2-9FEE362C993E}"/>
            </c:ext>
          </c:extLst>
        </c:ser>
        <c:ser>
          <c:idx val="8"/>
          <c:order val="8"/>
          <c:tx>
            <c:v>0V8, 30A, 1MHz, 1ph</c:v>
          </c:tx>
          <c:spPr>
            <a:ln w="22225">
              <a:solidFill>
                <a:srgbClr val="CC00CC"/>
              </a:solidFill>
            </a:ln>
          </c:spPr>
          <c:marker>
            <c:symbol val="none"/>
          </c:marker>
          <c:xVal>
            <c:numRef>
              <c:f>Bode_Plot!$CX$50:$CX$177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Bode_Plot!$CZ$50:$CZ$177</c:f>
              <c:numCache>
                <c:formatCode>General</c:formatCode>
                <c:ptCount val="128"/>
                <c:pt idx="0">
                  <c:v>-6.9822774742502272E-2</c:v>
                </c:pt>
                <c:pt idx="1">
                  <c:v>-0.34993958004206199</c:v>
                </c:pt>
                <c:pt idx="2">
                  <c:v>-0.69820110612013608</c:v>
                </c:pt>
                <c:pt idx="3">
                  <c:v>-0.76555632176835886</c:v>
                </c:pt>
                <c:pt idx="4">
                  <c:v>-0.83940794815322584</c:v>
                </c:pt>
                <c:pt idx="5">
                  <c:v>-0.92038214305833521</c:v>
                </c:pt>
                <c:pt idx="6">
                  <c:v>-1.0091652826384672</c:v>
                </c:pt>
                <c:pt idx="7">
                  <c:v>-1.1065097100624834</c:v>
                </c:pt>
                <c:pt idx="8">
                  <c:v>-1.2132400193548762</c:v>
                </c:pt>
                <c:pt idx="9">
                  <c:v>-1.3302599199084852</c:v>
                </c:pt>
                <c:pt idx="10">
                  <c:v>-1.4585597295770452</c:v>
                </c:pt>
                <c:pt idx="11">
                  <c:v>-1.5992245463133512</c:v>
                </c:pt>
                <c:pt idx="12">
                  <c:v>-1.7534431497665679</c:v>
                </c:pt>
                <c:pt idx="13">
                  <c:v>-1.9225176847832359</c:v>
                </c:pt>
                <c:pt idx="14">
                  <c:v>-2.1078741779514552</c:v>
                </c:pt>
                <c:pt idx="15">
                  <c:v>-2.3110739356348016</c:v>
                </c:pt>
                <c:pt idx="16">
                  <c:v>-2.5338258666195617</c:v>
                </c:pt>
                <c:pt idx="17">
                  <c:v>-2.7779997635818297</c:v>
                </c:pt>
                <c:pt idx="18">
                  <c:v>-3.0456405637870141</c:v>
                </c:pt>
                <c:pt idx="19">
                  <c:v>-3.3389835891134303</c:v>
                </c:pt>
                <c:pt idx="20">
                  <c:v>-3.6604707364879538</c:v>
                </c:pt>
                <c:pt idx="21">
                  <c:v>-4.0127675493806931</c:v>
                </c:pt>
                <c:pt idx="22">
                  <c:v>-4.3987810456065857</c:v>
                </c:pt>
                <c:pt idx="23">
                  <c:v>-4.8216781018959756</c:v>
                </c:pt>
                <c:pt idx="24">
                  <c:v>-5.2849040959982059</c:v>
                </c:pt>
                <c:pt idx="25">
                  <c:v>-5.7922013757230024</c:v>
                </c:pt>
                <c:pt idx="26">
                  <c:v>-6.3476269531990264</c:v>
                </c:pt>
                <c:pt idx="27">
                  <c:v>-6.9555686023148278</c:v>
                </c:pt>
                <c:pt idx="28">
                  <c:v>-7.6207582573054164</c:v>
                </c:pt>
                <c:pt idx="29">
                  <c:v>-8.3482812597880347</c:v>
                </c:pt>
                <c:pt idx="30">
                  <c:v>-9.1435795701017337</c:v>
                </c:pt>
                <c:pt idx="31">
                  <c:v>-10.012446539496061</c:v>
                </c:pt>
                <c:pt idx="32">
                  <c:v>-10.961010232254669</c:v>
                </c:pt>
                <c:pt idx="33">
                  <c:v>-11.995701603476791</c:v>
                </c:pt>
                <c:pt idx="34">
                  <c:v>-13.123203112062082</c:v>
                </c:pt>
                <c:pt idx="35">
                  <c:v>-14.350372644893648</c:v>
                </c:pt>
                <c:pt idx="36">
                  <c:v>-15.684137059389831</c:v>
                </c:pt>
                <c:pt idx="37">
                  <c:v>-17.131349392444285</c:v>
                </c:pt>
                <c:pt idx="38">
                  <c:v>-18.698604086204071</c:v>
                </c:pt>
                <c:pt idx="39">
                  <c:v>-20.392005779372834</c:v>
                </c:pt>
                <c:pt idx="40">
                  <c:v>-22.216889707734992</c:v>
                </c:pt>
                <c:pt idx="41">
                  <c:v>-24.17749596411447</c:v>
                </c:pt>
                <c:pt idx="42">
                  <c:v>-26.276606105342289</c:v>
                </c:pt>
                <c:pt idx="43">
                  <c:v>-28.515158907975305</c:v>
                </c:pt>
                <c:pt idx="44">
                  <c:v>-30.891872000916351</c:v>
                </c:pt>
                <c:pt idx="45">
                  <c:v>-33.402906422529369</c:v>
                </c:pt>
                <c:pt idx="46">
                  <c:v>-36.0416197498812</c:v>
                </c:pt>
                <c:pt idx="47">
                  <c:v>-38.798457454395759</c:v>
                </c:pt>
                <c:pt idx="48">
                  <c:v>-41.661028475578341</c:v>
                </c:pt>
                <c:pt idx="49">
                  <c:v>-44.614397415360472</c:v>
                </c:pt>
                <c:pt idx="50">
                  <c:v>-47.641602057887951</c:v>
                </c:pt>
                <c:pt idx="51">
                  <c:v>-50.724373968728237</c:v>
                </c:pt>
                <c:pt idx="52">
                  <c:v>-53.844007625497056</c:v>
                </c:pt>
                <c:pt idx="53">
                  <c:v>-56.982297478791835</c:v>
                </c:pt>
                <c:pt idx="54">
                  <c:v>-60.122449391170001</c:v>
                </c:pt>
                <c:pt idx="55">
                  <c:v>-63.249876603880452</c:v>
                </c:pt>
                <c:pt idx="56">
                  <c:v>-66.352809568659239</c:v>
                </c:pt>
                <c:pt idx="57">
                  <c:v>-69.422678237943856</c:v>
                </c:pt>
                <c:pt idx="58">
                  <c:v>-72.454257170730585</c:v>
                </c:pt>
                <c:pt idx="59">
                  <c:v>-75.445591043952447</c:v>
                </c:pt>
                <c:pt idx="60">
                  <c:v>-78.397736357510979</c:v>
                </c:pt>
                <c:pt idx="61">
                  <c:v>-81.314363014927309</c:v>
                </c:pt>
                <c:pt idx="62">
                  <c:v>-84.201258488170453</c:v>
                </c:pt>
                <c:pt idx="63">
                  <c:v>-87.065770410677302</c:v>
                </c:pt>
                <c:pt idx="64">
                  <c:v>-89.916214023113142</c:v>
                </c:pt>
                <c:pt idx="65">
                  <c:v>-92.761261811361877</c:v>
                </c:pt>
                <c:pt idx="66">
                  <c:v>-95.609326008641418</c:v>
                </c:pt>
                <c:pt idx="67">
                  <c:v>-98.467941621200225</c:v>
                </c:pt>
                <c:pt idx="68">
                  <c:v>-101.34315876220916</c:v>
                </c:pt>
                <c:pt idx="69">
                  <c:v>-104.23895813361084</c:v>
                </c:pt>
                <c:pt idx="70">
                  <c:v>-107.15671155299114</c:v>
                </c:pt>
                <c:pt idx="71">
                  <c:v>-110.09471873816571</c:v>
                </c:pt>
                <c:pt idx="72">
                  <c:v>-113.04785953660799</c:v>
                </c:pt>
                <c:pt idx="73">
                  <c:v>-116.00740416624818</c:v>
                </c:pt>
                <c:pt idx="74">
                  <c:v>-118.96101952146913</c:v>
                </c:pt>
                <c:pt idx="75">
                  <c:v>-121.89299489912142</c:v>
                </c:pt>
                <c:pt idx="76">
                  <c:v>-124.78468555327146</c:v>
                </c:pt>
                <c:pt idx="77">
                  <c:v>-127.6151403297167</c:v>
                </c:pt>
                <c:pt idx="78">
                  <c:v>-130.3618462342269</c:v>
                </c:pt>
                <c:pt idx="79">
                  <c:v>-133.00149552640323</c:v>
                </c:pt>
                <c:pt idx="80">
                  <c:v>-135.51066600842776</c:v>
                </c:pt>
                <c:pt idx="81">
                  <c:v>-137.86630505171254</c:v>
                </c:pt>
                <c:pt idx="82">
                  <c:v>-140.04591991217461</c:v>
                </c:pt>
                <c:pt idx="83">
                  <c:v>-142.027393698737</c:v>
                </c:pt>
                <c:pt idx="84">
                  <c:v>-143.78835785126131</c:v>
                </c:pt>
                <c:pt idx="85">
                  <c:v>-145.30504728150473</c:v>
                </c:pt>
                <c:pt idx="86">
                  <c:v>-146.55053275737845</c:v>
                </c:pt>
                <c:pt idx="87">
                  <c:v>-147.49215527296343</c:v>
                </c:pt>
                <c:pt idx="88">
                  <c:v>-148.08786432276747</c:v>
                </c:pt>
                <c:pt idx="89">
                  <c:v>-148.28096525346311</c:v>
                </c:pt>
                <c:pt idx="90">
                  <c:v>-147.99248470549873</c:v>
                </c:pt>
                <c:pt idx="91">
                  <c:v>-147.10996067211593</c:v>
                </c:pt>
                <c:pt idx="92">
                  <c:v>-145.47107081350052</c:v>
                </c:pt>
                <c:pt idx="93">
                  <c:v>-142.84075279509256</c:v>
                </c:pt>
                <c:pt idx="94">
                  <c:v>-138.88373715979318</c:v>
                </c:pt>
                <c:pt idx="95">
                  <c:v>-133.14830379179503</c:v>
                </c:pt>
                <c:pt idx="96">
                  <c:v>-125.11922508282613</c:v>
                </c:pt>
                <c:pt idx="97">
                  <c:v>-114.47563999412114</c:v>
                </c:pt>
                <c:pt idx="98">
                  <c:v>-101.65182195853411</c:v>
                </c:pt>
                <c:pt idx="99">
                  <c:v>-109.63136955353137</c:v>
                </c:pt>
                <c:pt idx="100">
                  <c:v>-125.93069338031563</c:v>
                </c:pt>
                <c:pt idx="101">
                  <c:v>-139.78921086708345</c:v>
                </c:pt>
                <c:pt idx="102">
                  <c:v>-151.15921920713049</c:v>
                </c:pt>
                <c:pt idx="103">
                  <c:v>-160.50538725480166</c:v>
                </c:pt>
                <c:pt idx="104">
                  <c:v>-168.35051855223301</c:v>
                </c:pt>
                <c:pt idx="105">
                  <c:v>-175.11602623990544</c:v>
                </c:pt>
                <c:pt idx="106">
                  <c:v>-178.89367210389517</c:v>
                </c:pt>
                <c:pt idx="107">
                  <c:v>-173.46746869925715</c:v>
                </c:pt>
                <c:pt idx="108">
                  <c:v>-168.4615591633812</c:v>
                </c:pt>
                <c:pt idx="109">
                  <c:v>-163.77942979938064</c:v>
                </c:pt>
                <c:pt idx="110">
                  <c:v>-159.3578039063276</c:v>
                </c:pt>
                <c:pt idx="111">
                  <c:v>-155.15692051294874</c:v>
                </c:pt>
                <c:pt idx="112">
                  <c:v>-151.15368188958249</c:v>
                </c:pt>
                <c:pt idx="113">
                  <c:v>-147.33665661115583</c:v>
                </c:pt>
                <c:pt idx="114">
                  <c:v>-143.70230865920797</c:v>
                </c:pt>
                <c:pt idx="115">
                  <c:v>-140.25208849610326</c:v>
                </c:pt>
                <c:pt idx="116">
                  <c:v>-136.99018624223416</c:v>
                </c:pt>
                <c:pt idx="117">
                  <c:v>-133.92183661982648</c:v>
                </c:pt>
                <c:pt idx="118">
                  <c:v>-131.05210456667709</c:v>
                </c:pt>
                <c:pt idx="119">
                  <c:v>-128.38508997385742</c:v>
                </c:pt>
                <c:pt idx="120">
                  <c:v>-125.92348614759554</c:v>
                </c:pt>
                <c:pt idx="121">
                  <c:v>-123.66842064808202</c:v>
                </c:pt>
                <c:pt idx="122">
                  <c:v>-121.61950533919351</c:v>
                </c:pt>
                <c:pt idx="123">
                  <c:v>-119.77502671687026</c:v>
                </c:pt>
                <c:pt idx="124">
                  <c:v>-118.13221693920558</c:v>
                </c:pt>
                <c:pt idx="125">
                  <c:v>-116.68755822330215</c:v>
                </c:pt>
                <c:pt idx="126">
                  <c:v>-115.43708606592676</c:v>
                </c:pt>
                <c:pt idx="127">
                  <c:v>-114.37666832036268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401-4B5D-97C2-9FEE362C993E}"/>
            </c:ext>
          </c:extLst>
        </c:ser>
        <c:ser>
          <c:idx val="9"/>
          <c:order val="9"/>
          <c:tx>
            <c:v>…..</c:v>
          </c:tx>
          <c:spPr>
            <a:ln>
              <a:solidFill>
                <a:srgbClr val="CC00CC"/>
              </a:solidFill>
              <a:prstDash val="sysDash"/>
            </a:ln>
          </c:spPr>
          <c:marker>
            <c:symbol val="none"/>
          </c:marker>
          <c:xVal>
            <c:numRef>
              <c:f>Bode_Plot!$CU$50:$CU$150</c:f>
              <c:numCache>
                <c:formatCode>General</c:formatCode>
                <c:ptCount val="101"/>
                <c:pt idx="0">
                  <c:v>100</c:v>
                </c:pt>
                <c:pt idx="1">
                  <c:v>109.647819614318</c:v>
                </c:pt>
                <c:pt idx="2">
                  <c:v>120.226443461741</c:v>
                </c:pt>
                <c:pt idx="3">
                  <c:v>131.82567385563999</c:v>
                </c:pt>
                <c:pt idx="4">
                  <c:v>144.54397707459199</c:v>
                </c:pt>
                <c:pt idx="5">
                  <c:v>158.48931924611099</c:v>
                </c:pt>
                <c:pt idx="6">
                  <c:v>173.78008287493699</c:v>
                </c:pt>
                <c:pt idx="7">
                  <c:v>190.54607179632399</c:v>
                </c:pt>
                <c:pt idx="8">
                  <c:v>208.92961308540299</c:v>
                </c:pt>
                <c:pt idx="9">
                  <c:v>229.08676527677699</c:v>
                </c:pt>
                <c:pt idx="10">
                  <c:v>251.188643150958</c:v>
                </c:pt>
                <c:pt idx="11">
                  <c:v>275.42287033381598</c:v>
                </c:pt>
                <c:pt idx="12">
                  <c:v>301.995172040201</c:v>
                </c:pt>
                <c:pt idx="13">
                  <c:v>331.13112148259103</c:v>
                </c:pt>
                <c:pt idx="14">
                  <c:v>363.07805477010101</c:v>
                </c:pt>
                <c:pt idx="15">
                  <c:v>398.10717055349699</c:v>
                </c:pt>
                <c:pt idx="16">
                  <c:v>436.51583224016503</c:v>
                </c:pt>
                <c:pt idx="17">
                  <c:v>478.63009232263801</c:v>
                </c:pt>
                <c:pt idx="18">
                  <c:v>524.80746024977202</c:v>
                </c:pt>
                <c:pt idx="19">
                  <c:v>575.43993733715604</c:v>
                </c:pt>
                <c:pt idx="20">
                  <c:v>630.957344480193</c:v>
                </c:pt>
                <c:pt idx="21">
                  <c:v>691.83097091893603</c:v>
                </c:pt>
                <c:pt idx="22">
                  <c:v>758.57757502918298</c:v>
                </c:pt>
                <c:pt idx="23">
                  <c:v>831.76377110267094</c:v>
                </c:pt>
                <c:pt idx="24">
                  <c:v>912.01083935590896</c:v>
                </c:pt>
                <c:pt idx="25">
                  <c:v>1000</c:v>
                </c:pt>
                <c:pt idx="26">
                  <c:v>1096.47819614318</c:v>
                </c:pt>
                <c:pt idx="27">
                  <c:v>1202.26443461741</c:v>
                </c:pt>
                <c:pt idx="28">
                  <c:v>1318.2567385564</c:v>
                </c:pt>
                <c:pt idx="29">
                  <c:v>1445.43977074592</c:v>
                </c:pt>
                <c:pt idx="30">
                  <c:v>1584.8931924611099</c:v>
                </c:pt>
                <c:pt idx="31">
                  <c:v>1737.8008287493701</c:v>
                </c:pt>
                <c:pt idx="32">
                  <c:v>1905.4607179632401</c:v>
                </c:pt>
                <c:pt idx="33">
                  <c:v>2089.2961308540298</c:v>
                </c:pt>
                <c:pt idx="34">
                  <c:v>2290.8676527677699</c:v>
                </c:pt>
                <c:pt idx="35">
                  <c:v>2511.8864315095698</c:v>
                </c:pt>
                <c:pt idx="36">
                  <c:v>2754.2287033381599</c:v>
                </c:pt>
                <c:pt idx="37">
                  <c:v>3019.9517204020099</c:v>
                </c:pt>
                <c:pt idx="38">
                  <c:v>3311.3112148259102</c:v>
                </c:pt>
                <c:pt idx="39">
                  <c:v>3630.7805477010102</c:v>
                </c:pt>
                <c:pt idx="40">
                  <c:v>3981.0717055349701</c:v>
                </c:pt>
                <c:pt idx="41">
                  <c:v>4365.1583224016504</c:v>
                </c:pt>
                <c:pt idx="42">
                  <c:v>4786.3009232263803</c:v>
                </c:pt>
                <c:pt idx="43">
                  <c:v>5248.0746024977198</c:v>
                </c:pt>
                <c:pt idx="44">
                  <c:v>5754.3993733715597</c:v>
                </c:pt>
                <c:pt idx="45">
                  <c:v>6309.5734448019302</c:v>
                </c:pt>
                <c:pt idx="46">
                  <c:v>6918.3097091893596</c:v>
                </c:pt>
                <c:pt idx="47">
                  <c:v>7585.7757502918303</c:v>
                </c:pt>
                <c:pt idx="48">
                  <c:v>8317.6377110267003</c:v>
                </c:pt>
                <c:pt idx="49">
                  <c:v>9120.1083935590905</c:v>
                </c:pt>
                <c:pt idx="50">
                  <c:v>10000</c:v>
                </c:pt>
                <c:pt idx="51">
                  <c:v>10964.7819614318</c:v>
                </c:pt>
                <c:pt idx="52">
                  <c:v>12022.6443461741</c:v>
                </c:pt>
                <c:pt idx="53">
                  <c:v>13182.567385564</c:v>
                </c:pt>
                <c:pt idx="54">
                  <c:v>14454.3977074592</c:v>
                </c:pt>
                <c:pt idx="55">
                  <c:v>15848.931924611101</c:v>
                </c:pt>
                <c:pt idx="56">
                  <c:v>17378.0082874937</c:v>
                </c:pt>
                <c:pt idx="57">
                  <c:v>19054.607179632399</c:v>
                </c:pt>
                <c:pt idx="58">
                  <c:v>20892.9613085403</c:v>
                </c:pt>
                <c:pt idx="59">
                  <c:v>22908.676527677701</c:v>
                </c:pt>
                <c:pt idx="60">
                  <c:v>25118.8643150957</c:v>
                </c:pt>
                <c:pt idx="61">
                  <c:v>27542.287033381599</c:v>
                </c:pt>
                <c:pt idx="62">
                  <c:v>30199.5172040201</c:v>
                </c:pt>
                <c:pt idx="63">
                  <c:v>33113.112148259097</c:v>
                </c:pt>
                <c:pt idx="64">
                  <c:v>36307.805477010101</c:v>
                </c:pt>
                <c:pt idx="65">
                  <c:v>39810.717055349698</c:v>
                </c:pt>
                <c:pt idx="66">
                  <c:v>43651.583224016598</c:v>
                </c:pt>
                <c:pt idx="67">
                  <c:v>47863.009232263801</c:v>
                </c:pt>
                <c:pt idx="68">
                  <c:v>52480.746024977198</c:v>
                </c:pt>
                <c:pt idx="69">
                  <c:v>57543.993733715601</c:v>
                </c:pt>
                <c:pt idx="70">
                  <c:v>63095.734448019197</c:v>
                </c:pt>
                <c:pt idx="71">
                  <c:v>69183.097091893593</c:v>
                </c:pt>
                <c:pt idx="72">
                  <c:v>75857.757502918306</c:v>
                </c:pt>
                <c:pt idx="73">
                  <c:v>83176.377110267</c:v>
                </c:pt>
                <c:pt idx="74">
                  <c:v>91201.083935590897</c:v>
                </c:pt>
                <c:pt idx="75">
                  <c:v>100000</c:v>
                </c:pt>
                <c:pt idx="76">
                  <c:v>109647.819614318</c:v>
                </c:pt>
                <c:pt idx="77">
                  <c:v>120226.443461741</c:v>
                </c:pt>
                <c:pt idx="78">
                  <c:v>131825.67385563999</c:v>
                </c:pt>
                <c:pt idx="79">
                  <c:v>144543.977074592</c:v>
                </c:pt>
                <c:pt idx="80">
                  <c:v>158489.319246111</c:v>
                </c:pt>
                <c:pt idx="81">
                  <c:v>173780.08287493701</c:v>
                </c:pt>
                <c:pt idx="82">
                  <c:v>190546.07179632399</c:v>
                </c:pt>
                <c:pt idx="83">
                  <c:v>208929.61308540299</c:v>
                </c:pt>
                <c:pt idx="84">
                  <c:v>229086.76527677701</c:v>
                </c:pt>
                <c:pt idx="85">
                  <c:v>251188.64315095701</c:v>
                </c:pt>
                <c:pt idx="86">
                  <c:v>275422.87033381598</c:v>
                </c:pt>
                <c:pt idx="87">
                  <c:v>301995.17204020103</c:v>
                </c:pt>
                <c:pt idx="88">
                  <c:v>331131.12148259103</c:v>
                </c:pt>
                <c:pt idx="89">
                  <c:v>363078.05477010098</c:v>
                </c:pt>
                <c:pt idx="90">
                  <c:v>398107.17055349698</c:v>
                </c:pt>
                <c:pt idx="91">
                  <c:v>436515.83224016603</c:v>
                </c:pt>
                <c:pt idx="92">
                  <c:v>478630.09232263803</c:v>
                </c:pt>
                <c:pt idx="93">
                  <c:v>524807.46024977195</c:v>
                </c:pt>
                <c:pt idx="94">
                  <c:v>575439.93733715604</c:v>
                </c:pt>
                <c:pt idx="95">
                  <c:v>630957.34448019206</c:v>
                </c:pt>
                <c:pt idx="96">
                  <c:v>691830.97091893596</c:v>
                </c:pt>
                <c:pt idx="97">
                  <c:v>758577.57502918295</c:v>
                </c:pt>
                <c:pt idx="98">
                  <c:v>831763.77110267</c:v>
                </c:pt>
                <c:pt idx="99">
                  <c:v>912010.83935590903</c:v>
                </c:pt>
                <c:pt idx="100">
                  <c:v>1000000</c:v>
                </c:pt>
              </c:numCache>
            </c:numRef>
          </c:xVal>
          <c:yVal>
            <c:numRef>
              <c:f>Bode_Plot!$CW$50:$CW$150</c:f>
              <c:numCache>
                <c:formatCode>General</c:formatCode>
                <c:ptCount val="101"/>
                <c:pt idx="0">
                  <c:v>-0.68154060611550804</c:v>
                </c:pt>
                <c:pt idx="1">
                  <c:v>-0.74728903402649205</c:v>
                </c:pt>
                <c:pt idx="2">
                  <c:v>-0.81937903954609304</c:v>
                </c:pt>
                <c:pt idx="3">
                  <c:v>-0.89842190187994098</c:v>
                </c:pt>
                <c:pt idx="4">
                  <c:v>-0.98508770205075702</c:v>
                </c:pt>
                <c:pt idx="5">
                  <c:v>-1.0801109408817999</c:v>
                </c:pt>
                <c:pt idx="6">
                  <c:v>-1.1842966814815099</c:v>
                </c:pt>
                <c:pt idx="7">
                  <c:v>-1.2985272612721299</c:v>
                </c:pt>
                <c:pt idx="8">
                  <c:v>-1.4237696211933</c:v>
                </c:pt>
                <c:pt idx="9">
                  <c:v>-1.56108330198926</c:v>
                </c:pt>
                <c:pt idx="10">
                  <c:v>-1.7116291592634001</c:v>
                </c:pt>
                <c:pt idx="11">
                  <c:v>-1.8766788499665099</c:v>
                </c:pt>
                <c:pt idx="12">
                  <c:v>-2.0576251428163101</c:v>
                </c:pt>
                <c:pt idx="13">
                  <c:v>-2.2559931033200802</c:v>
                </c:pt>
                <c:pt idx="14">
                  <c:v>-2.47345219992566</c:v>
                </c:pt>
                <c:pt idx="15">
                  <c:v>-2.7118293704898502</c:v>
                </c:pt>
                <c:pt idx="16">
                  <c:v>-2.9731230765698502</c:v>
                </c:pt>
                <c:pt idx="17">
                  <c:v>-3.2595183555081801</c:v>
                </c:pt>
                <c:pt idx="18">
                  <c:v>-3.57340285496312</c:v>
                </c:pt>
                <c:pt idx="19">
                  <c:v>-3.9173837988831002</c:v>
                </c:pt>
                <c:pt idx="20">
                  <c:v>-4.29430578476717</c:v>
                </c:pt>
                <c:pt idx="21">
                  <c:v>-4.7072692452887601</c:v>
                </c:pt>
                <c:pt idx="22">
                  <c:v>-5.1596493179087304</c:v>
                </c:pt>
                <c:pt idx="23">
                  <c:v>-5.6551147476946202</c:v>
                </c:pt>
                <c:pt idx="24">
                  <c:v>-6.1976462935995604</c:v>
                </c:pt>
                <c:pt idx="25">
                  <c:v>-6.7915539079898597</c:v>
                </c:pt>
                <c:pt idx="26">
                  <c:v>-7.4414917031132601</c:v>
                </c:pt>
                <c:pt idx="27">
                  <c:v>-8.1524693955499696</c:v>
                </c:pt>
                <c:pt idx="28">
                  <c:v>-8.9298585198176497</c:v>
                </c:pt>
                <c:pt idx="29">
                  <c:v>-9.7793912167014394</c:v>
                </c:pt>
                <c:pt idx="30">
                  <c:v>-10.7071488270019</c:v>
                </c:pt>
                <c:pt idx="31">
                  <c:v>-11.719536864124899</c:v>
                </c:pt>
                <c:pt idx="32">
                  <c:v>-12.8232422231545</c:v>
                </c:pt>
                <c:pt idx="33">
                  <c:v>-14.0251677615442</c:v>
                </c:pt>
                <c:pt idx="34">
                  <c:v>-15.332338750024601</c:v>
                </c:pt>
                <c:pt idx="35">
                  <c:v>-16.751775291042801</c:v>
                </c:pt>
                <c:pt idx="36">
                  <c:v>-18.290324857761899</c:v>
                </c:pt>
                <c:pt idx="37">
                  <c:v>-19.954449922618501</c:v>
                </c:pt>
                <c:pt idx="38">
                  <c:v>-21.749967600703599</c:v>
                </c:pt>
                <c:pt idx="39">
                  <c:v>-23.681741747835702</c:v>
                </c:pt>
                <c:pt idx="40">
                  <c:v>-25.7533333989258</c:v>
                </c:pt>
                <c:pt idx="41">
                  <c:v>-27.966622981979398</c:v>
                </c:pt>
                <c:pt idx="42">
                  <c:v>-30.321427154336</c:v>
                </c:pt>
                <c:pt idx="43">
                  <c:v>-32.8151434693537</c:v>
                </c:pt>
                <c:pt idx="44">
                  <c:v>-35.442465619125102</c:v>
                </c:pt>
                <c:pt idx="45">
                  <c:v>-38.1952180837377</c:v>
                </c:pt>
                <c:pt idx="46">
                  <c:v>-41.062358551801204</c:v>
                </c:pt>
                <c:pt idx="47">
                  <c:v>-44.030186751279999</c:v>
                </c:pt>
                <c:pt idx="48">
                  <c:v>-47.082778236044398</c:v>
                </c:pt>
                <c:pt idx="49">
                  <c:v>-50.202632858539303</c:v>
                </c:pt>
                <c:pt idx="50">
                  <c:v>-53.371494958509501</c:v>
                </c:pt>
                <c:pt idx="51">
                  <c:v>-56.571272914489299</c:v>
                </c:pt>
                <c:pt idx="52">
                  <c:v>-59.784967091756997</c:v>
                </c:pt>
                <c:pt idx="53">
                  <c:v>-62.997512421966199</c:v>
                </c:pt>
                <c:pt idx="54">
                  <c:v>-66.196455525569604</c:v>
                </c:pt>
                <c:pt idx="55">
                  <c:v>-69.372412449880201</c:v>
                </c:pt>
                <c:pt idx="56">
                  <c:v>-72.519284691174406</c:v>
                </c:pt>
                <c:pt idx="57">
                  <c:v>-75.634240698654494</c:v>
                </c:pt>
                <c:pt idx="58">
                  <c:v>-78.717491951323595</c:v>
                </c:pt>
                <c:pt idx="59">
                  <c:v>-81.771904544287594</c:v>
                </c:pt>
                <c:pt idx="60">
                  <c:v>-84.802489647148093</c:v>
                </c:pt>
                <c:pt idx="61">
                  <c:v>-87.815811860626297</c:v>
                </c:pt>
                <c:pt idx="62">
                  <c:v>-90.819346831215498</c:v>
                </c:pt>
                <c:pt idx="63">
                  <c:v>-93.820811690441005</c:v>
                </c:pt>
                <c:pt idx="64">
                  <c:v>-96.827486371337301</c:v>
                </c:pt>
                <c:pt idx="65">
                  <c:v>-99.845542020883897</c:v>
                </c:pt>
                <c:pt idx="66">
                  <c:v>-102.879394963989</c:v>
                </c:pt>
                <c:pt idx="67">
                  <c:v>-105.931110393775</c:v>
                </c:pt>
                <c:pt idx="68">
                  <c:v>-108.999887609544</c:v>
                </c:pt>
                <c:pt idx="69">
                  <c:v>-112.081665714577</c:v>
                </c:pt>
                <c:pt idx="70">
                  <c:v>-115.168892024347</c:v>
                </c:pt>
                <c:pt idx="71">
                  <c:v>-118.250491675804</c:v>
                </c:pt>
                <c:pt idx="72">
                  <c:v>-121.31206356021001</c:v>
                </c:pt>
                <c:pt idx="73">
                  <c:v>-124.336304274132</c:v>
                </c:pt>
                <c:pt idx="74">
                  <c:v>-127.303630857854</c:v>
                </c:pt>
                <c:pt idx="75">
                  <c:v>-130.192940272507</c:v>
                </c:pt>
                <c:pt idx="76">
                  <c:v>-132.98241618033401</c:v>
                </c:pt>
                <c:pt idx="77">
                  <c:v>-135.65027822788099</c:v>
                </c:pt>
                <c:pt idx="78">
                  <c:v>-138.17536893203601</c:v>
                </c:pt>
                <c:pt idx="79">
                  <c:v>-140.53748678650001</c:v>
                </c:pt>
                <c:pt idx="80">
                  <c:v>-142.71739509676101</c:v>
                </c:pt>
                <c:pt idx="81">
                  <c:v>-144.69645535486299</c:v>
                </c:pt>
                <c:pt idx="82">
                  <c:v>-146.47209475314699</c:v>
                </c:pt>
                <c:pt idx="83">
                  <c:v>-147.996836606415</c:v>
                </c:pt>
                <c:pt idx="84">
                  <c:v>-149.25986325448099</c:v>
                </c:pt>
                <c:pt idx="85">
                  <c:v>-150.23244687515501</c:v>
                </c:pt>
                <c:pt idx="86">
                  <c:v>-150.89176859106399</c:v>
                </c:pt>
                <c:pt idx="87">
                  <c:v>-151.16092030789099</c:v>
                </c:pt>
                <c:pt idx="88">
                  <c:v>-150.97912173171599</c:v>
                </c:pt>
                <c:pt idx="89">
                  <c:v>-150.26294103709799</c:v>
                </c:pt>
                <c:pt idx="90">
                  <c:v>-148.83610010166399</c:v>
                </c:pt>
                <c:pt idx="91">
                  <c:v>-146.51230452448499</c:v>
                </c:pt>
                <c:pt idx="92">
                  <c:v>-143.066248078234</c:v>
                </c:pt>
                <c:pt idx="93">
                  <c:v>-138.165089390124</c:v>
                </c:pt>
                <c:pt idx="94">
                  <c:v>-131.792274862791</c:v>
                </c:pt>
                <c:pt idx="95">
                  <c:v>-124.950841233921</c:v>
                </c:pt>
                <c:pt idx="96">
                  <c:v>-121.514345271023</c:v>
                </c:pt>
                <c:pt idx="97">
                  <c:v>-128.45630743699701</c:v>
                </c:pt>
                <c:pt idx="98">
                  <c:v>-145.56665499496901</c:v>
                </c:pt>
                <c:pt idx="99">
                  <c:v>-174.71905588188301</c:v>
                </c:pt>
                <c:pt idx="100">
                  <c:v>-51.734757844042001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C84-47FD-ADA4-BA688A761B63}"/>
            </c:ext>
          </c:extLst>
        </c:ser>
        <c:ser>
          <c:idx val="10"/>
          <c:order val="10"/>
          <c:tx>
            <c:v>active</c:v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Bode_Plot!$AA$50:$AA$177</c:f>
              <c:numCache>
                <c:formatCode>0.0</c:formatCode>
                <c:ptCount val="128"/>
                <c:pt idx="0">
                  <c:v>-7.1813504785112767E-2</c:v>
                </c:pt>
                <c:pt idx="1">
                  <c:v>-0.35991683801283775</c:v>
                </c:pt>
                <c:pt idx="2">
                  <c:v>-0.71810818658284459</c:v>
                </c:pt>
                <c:pt idx="3">
                  <c:v>-0.78738395217119639</c:v>
                </c:pt>
                <c:pt idx="4">
                  <c:v>-0.86334140400968684</c:v>
                </c:pt>
                <c:pt idx="5">
                  <c:v>-0.94662456993958177</c:v>
                </c:pt>
                <c:pt idx="6">
                  <c:v>-1.0379394186567457</c:v>
                </c:pt>
                <c:pt idx="7">
                  <c:v>-1.1380597740315346</c:v>
                </c:pt>
                <c:pt idx="8">
                  <c:v>-1.2478337804511457</c:v>
                </c:pt>
                <c:pt idx="9">
                  <c:v>-1.3681909661323297</c:v>
                </c:pt>
                <c:pt idx="10">
                  <c:v>-1.5001499539150196</c:v>
                </c:pt>
                <c:pt idx="11">
                  <c:v>-1.644826871237614</c:v>
                </c:pt>
                <c:pt idx="12">
                  <c:v>-1.8034445125820164</c:v>
                </c:pt>
                <c:pt idx="13">
                  <c:v>-1.977342308350843</c:v>
                </c:pt>
                <c:pt idx="14">
                  <c:v>-2.1679871534816049</c:v>
                </c:pt>
                <c:pt idx="15">
                  <c:v>-2.3769851465526282</c:v>
                </c:pt>
                <c:pt idx="16">
                  <c:v>-2.6060942849545827</c:v>
                </c:pt>
                <c:pt idx="17">
                  <c:v>-2.8572381529071467</c:v>
                </c:pt>
                <c:pt idx="18">
                  <c:v>-3.1325206254134788</c:v>
                </c:pt>
                <c:pt idx="19">
                  <c:v>-3.4342415909915611</c:v>
                </c:pt>
                <c:pt idx="20">
                  <c:v>-3.7649136670364789</c:v>
                </c:pt>
                <c:pt idx="21">
                  <c:v>-4.1272798411689813</c:v>
                </c:pt>
                <c:pt idx="22">
                  <c:v>-4.524331916366533</c:v>
                </c:pt>
                <c:pt idx="23">
                  <c:v>-4.9593295625822256</c:v>
                </c:pt>
                <c:pt idx="24">
                  <c:v>-5.4358196773617804</c:v>
                </c:pt>
                <c:pt idx="25">
                  <c:v>-5.9576556258518787</c:v>
                </c:pt>
                <c:pt idx="26">
                  <c:v>-6.5290157583682822</c:v>
                </c:pt>
                <c:pt idx="27">
                  <c:v>-7.1544203818326384</c:v>
                </c:pt>
                <c:pt idx="28">
                  <c:v>-7.8387460792565165</c:v>
                </c:pt>
                <c:pt idx="29">
                  <c:v>-8.5872359179297479</c:v>
                </c:pt>
                <c:pt idx="30">
                  <c:v>-9.4055036517139321</c:v>
                </c:pt>
                <c:pt idx="31">
                  <c:v>-10.299529498560855</c:v>
                </c:pt>
                <c:pt idx="32">
                  <c:v>-11.275644460490458</c:v>
                </c:pt>
                <c:pt idx="33">
                  <c:v>-12.340499461710449</c:v>
                </c:pt>
                <c:pt idx="34">
                  <c:v>-13.501014844060535</c:v>
                </c:pt>
                <c:pt idx="35">
                  <c:v>-14.764305042534181</c:v>
                </c:pt>
                <c:pt idx="36">
                  <c:v>-16.137572678904789</c:v>
                </c:pt>
                <c:pt idx="37">
                  <c:v>-17.627966032766263</c:v>
                </c:pt>
                <c:pt idx="38">
                  <c:v>-19.2423941277005</c:v>
                </c:pt>
                <c:pt idx="39">
                  <c:v>-20.98729483876507</c:v>
                </c:pt>
                <c:pt idx="40">
                  <c:v>-22.868353885061687</c:v>
                </c:pt>
                <c:pt idx="41">
                  <c:v>-24.890176729330374</c:v>
                </c:pt>
                <c:pt idx="42">
                  <c:v>-27.055921579656975</c:v>
                </c:pt>
                <c:pt idx="43">
                  <c:v>-29.366909915088044</c:v>
                </c:pt>
                <c:pt idx="44">
                  <c:v>-31.822240762812655</c:v>
                </c:pt>
                <c:pt idx="45">
                  <c:v>-34.418445108935153</c:v>
                </c:pt>
                <c:pt idx="46">
                  <c:v>-37.149225204962939</c:v>
                </c:pt>
                <c:pt idx="47">
                  <c:v>-40.005327259751347</c:v>
                </c:pt>
                <c:pt idx="48">
                  <c:v>-42.974592014725779</c:v>
                </c:pt>
                <c:pt idx="49">
                  <c:v>-46.042213761216793</c:v>
                </c:pt>
                <c:pt idx="50">
                  <c:v>-49.191214346399704</c:v>
                </c:pt>
                <c:pt idx="51">
                  <c:v>-52.403107567911121</c:v>
                </c:pt>
                <c:pt idx="52">
                  <c:v>-55.658697087706777</c:v>
                </c:pt>
                <c:pt idx="53">
                  <c:v>-58.938925335230635</c:v>
                </c:pt>
                <c:pt idx="54">
                  <c:v>-62.225678829307107</c:v>
                </c:pt>
                <c:pt idx="55">
                  <c:v>-65.502460670438907</c:v>
                </c:pt>
                <c:pt idx="56">
                  <c:v>-68.754862703675585</c:v>
                </c:pt>
                <c:pt idx="57">
                  <c:v>-71.970802859779837</c:v>
                </c:pt>
                <c:pt idx="58">
                  <c:v>-75.140530087587294</c:v>
                </c:pt>
                <c:pt idx="59">
                  <c:v>-78.256433062840131</c:v>
                </c:pt>
                <c:pt idx="60">
                  <c:v>-81.31271460347763</c:v>
                </c:pt>
                <c:pt idx="61">
                  <c:v>-84.305009132109305</c:v>
                </c:pt>
                <c:pt idx="62">
                  <c:v>-87.230025166338379</c:v>
                </c:pt>
                <c:pt idx="63">
                  <c:v>-90.085288955009247</c:v>
                </c:pt>
                <c:pt idx="64">
                  <c:v>-92.869049188619826</c:v>
                </c:pt>
                <c:pt idx="65">
                  <c:v>-95.580376361968106</c:v>
                </c:pt>
                <c:pt idx="66">
                  <c:v>-98.219454999041773</c:v>
                </c:pt>
                <c:pt idx="67">
                  <c:v>-100.78802604851894</c:v>
                </c:pt>
                <c:pt idx="68">
                  <c:v>-103.28989698528981</c:v>
                </c:pt>
                <c:pt idx="69">
                  <c:v>-105.73140772418657</c:v>
                </c:pt>
                <c:pt idx="70">
                  <c:v>-108.12173067247819</c:v>
                </c:pt>
                <c:pt idx="71">
                  <c:v>-110.47289888187993</c:v>
                </c:pt>
                <c:pt idx="72">
                  <c:v>-112.79949639026131</c:v>
                </c:pt>
                <c:pt idx="73">
                  <c:v>-115.11800107529155</c:v>
                </c:pt>
                <c:pt idx="74">
                  <c:v>-117.44582922783106</c:v>
                </c:pt>
                <c:pt idx="75">
                  <c:v>-119.80017882335306</c:v>
                </c:pt>
                <c:pt idx="76">
                  <c:v>-122.19679581727229</c:v>
                </c:pt>
                <c:pt idx="77">
                  <c:v>-124.64879236838489</c:v>
                </c:pt>
                <c:pt idx="78">
                  <c:v>-127.16563156507281</c:v>
                </c:pt>
                <c:pt idx="79">
                  <c:v>-129.75236689920041</c:v>
                </c:pt>
                <c:pt idx="80">
                  <c:v>-132.40919277212797</c:v>
                </c:pt>
                <c:pt idx="81">
                  <c:v>-135.13132840829329</c:v>
                </c:pt>
                <c:pt idx="82">
                  <c:v>-137.9092227427021</c:v>
                </c:pt>
                <c:pt idx="83">
                  <c:v>-140.72903226738049</c:v>
                </c:pt>
                <c:pt idx="84">
                  <c:v>-143.57328867437218</c:v>
                </c:pt>
                <c:pt idx="85">
                  <c:v>-146.42164157486746</c:v>
                </c:pt>
                <c:pt idx="86">
                  <c:v>-149.25153773878699</c:v>
                </c:pt>
                <c:pt idx="87">
                  <c:v>-152.0386848141419</c:v>
                </c:pt>
                <c:pt idx="88">
                  <c:v>-154.75714260864609</c:v>
                </c:pt>
                <c:pt idx="89">
                  <c:v>-157.378880518675</c:v>
                </c:pt>
                <c:pt idx="90">
                  <c:v>-159.87261966599846</c:v>
                </c:pt>
                <c:pt idx="91">
                  <c:v>-162.2017175473998</c:v>
                </c:pt>
                <c:pt idx="92">
                  <c:v>-164.32071196260924</c:v>
                </c:pt>
                <c:pt idx="93">
                  <c:v>-166.16985233140264</c:v>
                </c:pt>
                <c:pt idx="94">
                  <c:v>-167.66638504222036</c:v>
                </c:pt>
                <c:pt idx="95">
                  <c:v>-168.69028119559815</c:v>
                </c:pt>
                <c:pt idx="96">
                  <c:v>-169.06003020355919</c:v>
                </c:pt>
                <c:pt idx="97">
                  <c:v>-168.49027955980125</c:v>
                </c:pt>
                <c:pt idx="98">
                  <c:v>-166.51693117486226</c:v>
                </c:pt>
                <c:pt idx="99">
                  <c:v>-162.37207760048625</c:v>
                </c:pt>
                <c:pt idx="100">
                  <c:v>-154.83579488498654</c:v>
                </c:pt>
                <c:pt idx="101">
                  <c:v>-142.39964183776482</c:v>
                </c:pt>
                <c:pt idx="102">
                  <c:v>-124.90340082823974</c:v>
                </c:pt>
                <c:pt idx="103">
                  <c:v>-142.82464738069663</c:v>
                </c:pt>
                <c:pt idx="104">
                  <c:v>-162.99380545277779</c:v>
                </c:pt>
                <c:pt idx="105">
                  <c:v>-177.99245410243694</c:v>
                </c:pt>
                <c:pt idx="106">
                  <c:v>-170.90306088366216</c:v>
                </c:pt>
                <c:pt idx="107">
                  <c:v>-162.32863256247884</c:v>
                </c:pt>
                <c:pt idx="108">
                  <c:v>-155.38694374026664</c:v>
                </c:pt>
                <c:pt idx="109">
                  <c:v>-149.54390504410131</c:v>
                </c:pt>
                <c:pt idx="110">
                  <c:v>-144.48365574809662</c:v>
                </c:pt>
                <c:pt idx="111">
                  <c:v>-140.01535917431127</c:v>
                </c:pt>
                <c:pt idx="112">
                  <c:v>-136.02009466401381</c:v>
                </c:pt>
                <c:pt idx="113">
                  <c:v>-132.42099646063818</c:v>
                </c:pt>
                <c:pt idx="114">
                  <c:v>-129.16622506821099</c:v>
                </c:pt>
                <c:pt idx="115">
                  <c:v>-126.21907847637479</c:v>
                </c:pt>
                <c:pt idx="116">
                  <c:v>-123.55216843259393</c:v>
                </c:pt>
                <c:pt idx="117">
                  <c:v>-121.14396601870813</c:v>
                </c:pt>
                <c:pt idx="118">
                  <c:v>-118.97675309357572</c:v>
                </c:pt>
                <c:pt idx="119">
                  <c:v>-117.03541635792037</c:v>
                </c:pt>
                <c:pt idx="120">
                  <c:v>-115.3067472777979</c:v>
                </c:pt>
                <c:pt idx="121">
                  <c:v>-113.77904361388634</c:v>
                </c:pt>
                <c:pt idx="122">
                  <c:v>-112.44188794395518</c:v>
                </c:pt>
                <c:pt idx="123">
                  <c:v>-111.28602729644197</c:v>
                </c:pt>
                <c:pt idx="124">
                  <c:v>-110.30330807786217</c:v>
                </c:pt>
                <c:pt idx="125">
                  <c:v>-109.48663899851012</c:v>
                </c:pt>
                <c:pt idx="126">
                  <c:v>-108.82996597762714</c:v>
                </c:pt>
                <c:pt idx="127">
                  <c:v>-108.32824970536372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19-47CE-B965-2BA40D7D9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962160"/>
        <c:axId val="346962552"/>
      </c:scatterChart>
      <c:valAx>
        <c:axId val="346962160"/>
        <c:scaling>
          <c:logBase val="10"/>
          <c:orientation val="minMax"/>
          <c:max val="10000000"/>
          <c:min val="10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sz="1200"/>
                  <a:t>Frequency (kHz)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346962552"/>
        <c:crossesAt val="-180"/>
        <c:crossBetween val="midCat"/>
        <c:dispUnits>
          <c:builtInUnit val="thousands"/>
        </c:dispUnits>
      </c:valAx>
      <c:valAx>
        <c:axId val="346962552"/>
        <c:scaling>
          <c:orientation val="minMax"/>
          <c:max val="0"/>
          <c:min val="-18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Phase (deg)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46962160"/>
        <c:crosses val="autoZero"/>
        <c:crossBetween val="midCat"/>
      </c:valAx>
      <c:spPr>
        <a:noFill/>
        <a:ln w="25400">
          <a:solidFill>
            <a:sysClr val="windowText" lastClr="000000"/>
          </a:solidFill>
        </a:ln>
      </c:spPr>
    </c:plotArea>
    <c:legend>
      <c:legendPos val="r"/>
      <c:layout>
        <c:manualLayout>
          <c:xMode val="edge"/>
          <c:yMode val="edge"/>
          <c:x val="0.10452564808542461"/>
          <c:y val="0.32164497030594974"/>
          <c:w val="0.12820512820512822"/>
          <c:h val="0.44544255916149272"/>
        </c:manualLayout>
      </c:layout>
      <c:overlay val="0"/>
      <c:spPr>
        <a:solidFill>
          <a:schemeClr val="bg1"/>
        </a:solidFill>
      </c:spPr>
      <c:txPr>
        <a:bodyPr/>
        <a:lstStyle/>
        <a:p>
          <a:pPr>
            <a:defRPr sz="1200" baseline="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n-US"/>
    </a:p>
  </c:tx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chart" Target="../charts/chart1.xml"/><Relationship Id="rId4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3" Type="http://schemas.openxmlformats.org/officeDocument/2006/relationships/image" Target="../media/image11.png"/><Relationship Id="rId7" Type="http://schemas.openxmlformats.org/officeDocument/2006/relationships/chart" Target="../charts/chart4.xml"/><Relationship Id="rId2" Type="http://schemas.openxmlformats.org/officeDocument/2006/relationships/image" Target="../media/image10.png"/><Relationship Id="rId1" Type="http://schemas.openxmlformats.org/officeDocument/2006/relationships/image" Target="../media/image9.png"/><Relationship Id="rId6" Type="http://schemas.openxmlformats.org/officeDocument/2006/relationships/chart" Target="../charts/chart3.xml"/><Relationship Id="rId5" Type="http://schemas.openxmlformats.org/officeDocument/2006/relationships/chart" Target="../charts/chart2.xml"/><Relationship Id="rId4" Type="http://schemas.openxmlformats.org/officeDocument/2006/relationships/image" Target="../media/image5.png"/><Relationship Id="rId9" Type="http://schemas.openxmlformats.org/officeDocument/2006/relationships/chart" Target="../charts/chart6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708660</xdr:colOff>
          <xdr:row>43</xdr:row>
          <xdr:rowOff>198120</xdr:rowOff>
        </xdr:from>
        <xdr:to>
          <xdr:col>12</xdr:col>
          <xdr:colOff>1165860</xdr:colOff>
          <xdr:row>50</xdr:row>
          <xdr:rowOff>121920</xdr:rowOff>
        </xdr:to>
        <xdr:sp macro="" textlink="">
          <xdr:nvSpPr>
            <xdr:cNvPr id="2072" name="Object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0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3</xdr:col>
      <xdr:colOff>993402</xdr:colOff>
      <xdr:row>130</xdr:row>
      <xdr:rowOff>179294</xdr:rowOff>
    </xdr:from>
    <xdr:to>
      <xdr:col>11</xdr:col>
      <xdr:colOff>917762</xdr:colOff>
      <xdr:row>156</xdr:row>
      <xdr:rowOff>168088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716280</xdr:colOff>
          <xdr:row>51</xdr:row>
          <xdr:rowOff>152400</xdr:rowOff>
        </xdr:from>
        <xdr:to>
          <xdr:col>13</xdr:col>
          <xdr:colOff>22860</xdr:colOff>
          <xdr:row>58</xdr:row>
          <xdr:rowOff>0</xdr:rowOff>
        </xdr:to>
        <xdr:sp macro="" textlink="">
          <xdr:nvSpPr>
            <xdr:cNvPr id="2076" name="Object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0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14</xdr:col>
      <xdr:colOff>93169</xdr:colOff>
      <xdr:row>62</xdr:row>
      <xdr:rowOff>136764</xdr:rowOff>
    </xdr:from>
    <xdr:to>
      <xdr:col>20</xdr:col>
      <xdr:colOff>214227</xdr:colOff>
      <xdr:row>78</xdr:row>
      <xdr:rowOff>35331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40110" y="13673470"/>
          <a:ext cx="4551829" cy="33713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127184</xdr:colOff>
      <xdr:row>91</xdr:row>
      <xdr:rowOff>14566</xdr:rowOff>
    </xdr:from>
    <xdr:to>
      <xdr:col>20</xdr:col>
      <xdr:colOff>74072</xdr:colOff>
      <xdr:row>106</xdr:row>
      <xdr:rowOff>34799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06142" y="19346314"/>
          <a:ext cx="4391411" cy="31328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206507</xdr:colOff>
      <xdr:row>112</xdr:row>
      <xdr:rowOff>176891</xdr:rowOff>
    </xdr:from>
    <xdr:to>
      <xdr:col>12</xdr:col>
      <xdr:colOff>1217524</xdr:colOff>
      <xdr:row>128</xdr:row>
      <xdr:rowOff>184851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935614" y="24343177"/>
          <a:ext cx="4589696" cy="32872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5</xdr:row>
          <xdr:rowOff>38100</xdr:rowOff>
        </xdr:from>
        <xdr:to>
          <xdr:col>13</xdr:col>
          <xdr:colOff>7620</xdr:colOff>
          <xdr:row>12</xdr:row>
          <xdr:rowOff>175260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2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95</xdr:row>
      <xdr:rowOff>0</xdr:rowOff>
    </xdr:from>
    <xdr:to>
      <xdr:col>15</xdr:col>
      <xdr:colOff>34130</xdr:colOff>
      <xdr:row>108</xdr:row>
      <xdr:rowOff>121024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87000" y="19206882"/>
          <a:ext cx="3944983" cy="2743200"/>
        </a:xfrm>
        <a:prstGeom prst="rect">
          <a:avLst/>
        </a:prstGeom>
      </xdr:spPr>
    </xdr:pic>
    <xdr:clientData/>
  </xdr:twoCellAnchor>
  <xdr:twoCellAnchor editAs="oneCell">
    <xdr:from>
      <xdr:col>11</xdr:col>
      <xdr:colOff>1</xdr:colOff>
      <xdr:row>17</xdr:row>
      <xdr:rowOff>0</xdr:rowOff>
    </xdr:from>
    <xdr:to>
      <xdr:col>15</xdr:col>
      <xdr:colOff>189093</xdr:colOff>
      <xdr:row>30</xdr:row>
      <xdr:rowOff>121024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7001" y="3473824"/>
          <a:ext cx="4099945" cy="27432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638735</xdr:colOff>
      <xdr:row>42</xdr:row>
      <xdr:rowOff>112060</xdr:rowOff>
    </xdr:from>
    <xdr:to>
      <xdr:col>12</xdr:col>
      <xdr:colOff>1101470</xdr:colOff>
      <xdr:row>45</xdr:row>
      <xdr:rowOff>137535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4676" y="8953501"/>
          <a:ext cx="5920000" cy="633333"/>
        </a:xfrm>
        <a:prstGeom prst="rect">
          <a:avLst/>
        </a:prstGeom>
      </xdr:spPr>
    </xdr:pic>
    <xdr:clientData/>
  </xdr:twoCellAnchor>
  <xdr:twoCellAnchor editAs="oneCell">
    <xdr:from>
      <xdr:col>0</xdr:col>
      <xdr:colOff>672354</xdr:colOff>
      <xdr:row>41</xdr:row>
      <xdr:rowOff>67236</xdr:rowOff>
    </xdr:from>
    <xdr:to>
      <xdr:col>6</xdr:col>
      <xdr:colOff>1103305</xdr:colOff>
      <xdr:row>46</xdr:row>
      <xdr:rowOff>38706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2354" y="8706971"/>
          <a:ext cx="6493333" cy="980000"/>
        </a:xfrm>
        <a:prstGeom prst="rect">
          <a:avLst/>
        </a:prstGeom>
      </xdr:spPr>
    </xdr:pic>
    <xdr:clientData/>
  </xdr:twoCellAnchor>
  <xdr:twoCellAnchor editAs="oneCell">
    <xdr:from>
      <xdr:col>6</xdr:col>
      <xdr:colOff>976512</xdr:colOff>
      <xdr:row>32</xdr:row>
      <xdr:rowOff>152079</xdr:rowOff>
    </xdr:from>
    <xdr:to>
      <xdr:col>8</xdr:col>
      <xdr:colOff>1069132</xdr:colOff>
      <xdr:row>35</xdr:row>
      <xdr:rowOff>149800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031691" y="7078115"/>
          <a:ext cx="2487477" cy="610042"/>
        </a:xfrm>
        <a:prstGeom prst="rect">
          <a:avLst/>
        </a:prstGeom>
      </xdr:spPr>
    </xdr:pic>
    <xdr:clientData/>
  </xdr:twoCellAnchor>
  <xdr:twoCellAnchor editAs="oneCell">
    <xdr:from>
      <xdr:col>16</xdr:col>
      <xdr:colOff>1</xdr:colOff>
      <xdr:row>4</xdr:row>
      <xdr:rowOff>0</xdr:rowOff>
    </xdr:from>
    <xdr:to>
      <xdr:col>19</xdr:col>
      <xdr:colOff>23343</xdr:colOff>
      <xdr:row>15</xdr:row>
      <xdr:rowOff>175201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7049751" y="1006929"/>
          <a:ext cx="3614286" cy="2504762"/>
        </a:xfrm>
        <a:prstGeom prst="rect">
          <a:avLst/>
        </a:prstGeom>
      </xdr:spPr>
    </xdr:pic>
    <xdr:clientData/>
  </xdr:twoCellAnchor>
  <xdr:twoCellAnchor>
    <xdr:from>
      <xdr:col>2</xdr:col>
      <xdr:colOff>228536</xdr:colOff>
      <xdr:row>53</xdr:row>
      <xdr:rowOff>27524</xdr:rowOff>
    </xdr:from>
    <xdr:to>
      <xdr:col>10</xdr:col>
      <xdr:colOff>627473</xdr:colOff>
      <xdr:row>73</xdr:row>
      <xdr:rowOff>147516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1</xdr:colOff>
      <xdr:row>53</xdr:row>
      <xdr:rowOff>34637</xdr:rowOff>
    </xdr:from>
    <xdr:to>
      <xdr:col>19</xdr:col>
      <xdr:colOff>312346</xdr:colOff>
      <xdr:row>73</xdr:row>
      <xdr:rowOff>154629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19</xdr:col>
      <xdr:colOff>940129</xdr:colOff>
      <xdr:row>53</xdr:row>
      <xdr:rowOff>59379</xdr:rowOff>
    </xdr:from>
    <xdr:to>
      <xdr:col>28</xdr:col>
      <xdr:colOff>1096611</xdr:colOff>
      <xdr:row>73</xdr:row>
      <xdr:rowOff>169846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78</xdr:col>
      <xdr:colOff>59682</xdr:colOff>
      <xdr:row>57</xdr:row>
      <xdr:rowOff>133561</xdr:rowOff>
    </xdr:from>
    <xdr:to>
      <xdr:col>98</xdr:col>
      <xdr:colOff>603100</xdr:colOff>
      <xdr:row>89</xdr:row>
      <xdr:rowOff>20474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78</xdr:col>
      <xdr:colOff>422246</xdr:colOff>
      <xdr:row>95</xdr:row>
      <xdr:rowOff>38099</xdr:rowOff>
    </xdr:from>
    <xdr:to>
      <xdr:col>99</xdr:col>
      <xdr:colOff>294155</xdr:colOff>
      <xdr:row>126</xdr:row>
      <xdr:rowOff>185207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package" Target="../embeddings/Microsoft_Visio_Drawing1.vsdx"/><Relationship Id="rId5" Type="http://schemas.openxmlformats.org/officeDocument/2006/relationships/image" Target="../media/image1.emf"/><Relationship Id="rId4" Type="http://schemas.openxmlformats.org/officeDocument/2006/relationships/package" Target="../embeddings/Microsoft_Visio_Drawing.vsdx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6.emf"/><Relationship Id="rId4" Type="http://schemas.openxmlformats.org/officeDocument/2006/relationships/package" Target="../embeddings/Microsoft_Visio_Drawing2.vsdx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166"/>
  <sheetViews>
    <sheetView tabSelected="1" topLeftCell="A102" zoomScale="70" zoomScaleNormal="70" workbookViewId="0">
      <selection activeCell="F127" sqref="F127"/>
    </sheetView>
  </sheetViews>
  <sheetFormatPr defaultRowHeight="15"/>
  <cols>
    <col min="1" max="1" width="9.69921875" style="1" customWidth="1"/>
    <col min="2" max="2" width="2.19921875" style="1" customWidth="1"/>
    <col min="3" max="3" width="13.8984375" style="1" customWidth="1"/>
    <col min="4" max="4" width="13.19921875" style="1" customWidth="1"/>
    <col min="5" max="5" width="24.19921875" style="1" customWidth="1"/>
    <col min="6" max="7" width="17.19921875" style="1" customWidth="1"/>
    <col min="8" max="8" width="14.19921875" style="1" customWidth="1"/>
    <col min="9" max="10" width="15.19921875" style="1" customWidth="1"/>
    <col min="11" max="11" width="14.8984375" style="1" customWidth="1"/>
    <col min="12" max="12" width="16.8984375" style="1" customWidth="1"/>
    <col min="13" max="13" width="17" style="1" customWidth="1"/>
    <col min="14" max="14" width="2.19921875" style="1" customWidth="1"/>
    <col min="15" max="87" width="9.69921875" customWidth="1"/>
    <col min="88" max="1025" width="9.69921875" style="1" customWidth="1"/>
  </cols>
  <sheetData>
    <row r="1" spans="1:18" ht="28.5" customHeight="1" thickBot="1">
      <c r="A1" s="340"/>
      <c r="B1" s="359" t="s">
        <v>331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</row>
    <row r="2" spans="1:18" ht="33.75" customHeight="1">
      <c r="A2" s="340"/>
      <c r="B2" s="359"/>
      <c r="C2" s="359"/>
      <c r="D2" s="359"/>
      <c r="E2" s="359"/>
      <c r="F2" s="359"/>
      <c r="G2" s="359"/>
      <c r="H2" s="359"/>
      <c r="I2" s="359"/>
      <c r="J2" s="359"/>
      <c r="K2" s="359"/>
      <c r="L2" s="359"/>
      <c r="M2" s="359"/>
      <c r="N2" s="359"/>
    </row>
    <row r="3" spans="1:18" ht="22.95" customHeight="1">
      <c r="A3" s="340"/>
      <c r="B3" s="360" t="s">
        <v>472</v>
      </c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</row>
    <row r="4" spans="1:18" ht="15.6">
      <c r="A4" s="340"/>
      <c r="B4" s="338"/>
      <c r="C4" s="336"/>
      <c r="D4" s="336"/>
      <c r="E4" s="336"/>
      <c r="F4" s="336"/>
      <c r="G4" s="336"/>
      <c r="H4" s="336"/>
      <c r="I4" s="336"/>
      <c r="J4" s="336"/>
      <c r="K4" s="336"/>
      <c r="L4" s="336"/>
      <c r="M4" s="336"/>
      <c r="N4" s="337"/>
    </row>
    <row r="5" spans="1:18" ht="15.6">
      <c r="A5" s="340"/>
      <c r="B5" s="338"/>
      <c r="C5" s="2"/>
      <c r="D5" s="334" t="s">
        <v>40</v>
      </c>
      <c r="E5" s="334"/>
      <c r="F5" s="364"/>
      <c r="G5" s="364"/>
      <c r="H5" s="364"/>
      <c r="I5" s="364"/>
      <c r="J5" s="364"/>
      <c r="K5" s="364"/>
      <c r="L5" s="364"/>
      <c r="M5" s="364"/>
      <c r="N5" s="365"/>
    </row>
    <row r="6" spans="1:18" ht="15.6">
      <c r="A6" s="340"/>
      <c r="B6" s="338"/>
      <c r="C6" s="3"/>
      <c r="D6" s="334" t="s">
        <v>41</v>
      </c>
      <c r="E6" s="334"/>
      <c r="F6" s="4"/>
      <c r="G6" s="334" t="s">
        <v>39</v>
      </c>
      <c r="H6" s="334"/>
      <c r="I6" s="331"/>
      <c r="J6" s="331"/>
      <c r="K6" s="331"/>
      <c r="L6" s="331"/>
      <c r="M6" s="331"/>
      <c r="N6" s="332"/>
    </row>
    <row r="7" spans="1:18" ht="15.6">
      <c r="A7" s="340"/>
      <c r="B7" s="338"/>
      <c r="C7" s="336"/>
      <c r="D7" s="336"/>
      <c r="E7" s="336"/>
      <c r="F7" s="336"/>
      <c r="G7" s="336"/>
      <c r="H7" s="336"/>
      <c r="I7" s="336"/>
      <c r="J7" s="336"/>
      <c r="K7" s="336"/>
      <c r="L7" s="336"/>
      <c r="M7" s="336"/>
      <c r="N7" s="337"/>
    </row>
    <row r="8" spans="1:18" ht="18.75" customHeight="1">
      <c r="A8" s="340"/>
      <c r="B8" s="361" t="s">
        <v>202</v>
      </c>
      <c r="C8" s="361"/>
      <c r="D8" s="361"/>
      <c r="E8" s="361"/>
      <c r="F8" s="361"/>
      <c r="G8" s="361"/>
      <c r="H8" s="361"/>
      <c r="I8" s="361"/>
      <c r="J8" s="361"/>
      <c r="K8" s="361"/>
      <c r="L8" s="361"/>
      <c r="M8" s="361"/>
      <c r="N8" s="361"/>
    </row>
    <row r="9" spans="1:18" ht="15.6">
      <c r="A9" s="340"/>
      <c r="B9" s="338"/>
      <c r="C9" s="336"/>
      <c r="D9" s="336"/>
      <c r="E9" s="336"/>
      <c r="F9" s="336"/>
      <c r="G9" s="336"/>
      <c r="H9" s="336"/>
      <c r="I9" s="336"/>
      <c r="J9" s="336"/>
      <c r="K9" s="336"/>
      <c r="L9" s="336"/>
      <c r="M9" s="336"/>
      <c r="N9" s="337"/>
      <c r="P9" s="146"/>
      <c r="Q9" s="146"/>
    </row>
    <row r="10" spans="1:18" ht="15.6">
      <c r="A10" s="340"/>
      <c r="B10" s="338"/>
      <c r="C10" s="336"/>
      <c r="D10" s="363"/>
      <c r="E10" s="15" t="s">
        <v>287</v>
      </c>
      <c r="F10" s="362" t="s">
        <v>1</v>
      </c>
      <c r="G10" s="362"/>
      <c r="H10" s="15" t="s">
        <v>2</v>
      </c>
      <c r="I10" s="48"/>
      <c r="J10" s="48"/>
      <c r="K10" s="48"/>
      <c r="L10" s="48"/>
      <c r="M10" s="48"/>
      <c r="N10" s="51"/>
      <c r="P10" s="146"/>
      <c r="Q10" s="286"/>
    </row>
    <row r="11" spans="1:18" ht="18">
      <c r="A11" s="340"/>
      <c r="B11" s="338"/>
      <c r="C11" s="336"/>
      <c r="D11" s="363"/>
      <c r="E11" s="116" t="s">
        <v>3</v>
      </c>
      <c r="F11" s="352">
        <v>12</v>
      </c>
      <c r="G11" s="353"/>
      <c r="H11" s="120" t="s">
        <v>4</v>
      </c>
      <c r="I11" s="333" t="s">
        <v>5</v>
      </c>
      <c r="J11" s="334"/>
      <c r="K11" s="334"/>
      <c r="L11" s="334"/>
      <c r="M11" s="334"/>
      <c r="N11" s="335"/>
      <c r="P11" s="146"/>
      <c r="Q11" s="266"/>
    </row>
    <row r="12" spans="1:18" ht="18">
      <c r="A12" s="340"/>
      <c r="B12" s="338"/>
      <c r="C12" s="336"/>
      <c r="D12" s="363"/>
      <c r="E12" s="122" t="s">
        <v>194</v>
      </c>
      <c r="F12" s="352">
        <v>240</v>
      </c>
      <c r="G12" s="353"/>
      <c r="H12" s="121" t="s">
        <v>13</v>
      </c>
      <c r="I12" s="333" t="s">
        <v>151</v>
      </c>
      <c r="J12" s="334"/>
      <c r="K12" s="334"/>
      <c r="L12" s="334"/>
      <c r="M12" s="334"/>
      <c r="N12" s="335"/>
      <c r="P12" s="146"/>
      <c r="Q12" s="266"/>
      <c r="R12" s="146"/>
    </row>
    <row r="13" spans="1:18" ht="18">
      <c r="A13" s="340"/>
      <c r="B13" s="338"/>
      <c r="C13" s="336"/>
      <c r="D13" s="363"/>
      <c r="E13" s="117" t="s">
        <v>14</v>
      </c>
      <c r="F13" s="228" t="s">
        <v>10</v>
      </c>
      <c r="G13" s="227">
        <v>360</v>
      </c>
      <c r="H13" s="121" t="s">
        <v>15</v>
      </c>
      <c r="I13" s="341" t="s">
        <v>473</v>
      </c>
      <c r="J13" s="342"/>
      <c r="K13" s="342"/>
      <c r="L13" s="342"/>
      <c r="M13" s="342"/>
      <c r="N13" s="343"/>
    </row>
    <row r="14" spans="1:18" ht="18">
      <c r="A14" s="340"/>
      <c r="B14" s="338"/>
      <c r="C14" s="336"/>
      <c r="D14" s="363"/>
      <c r="E14" s="117" t="s">
        <v>6</v>
      </c>
      <c r="F14" s="352">
        <v>1.2</v>
      </c>
      <c r="G14" s="353"/>
      <c r="H14" s="121" t="s">
        <v>4</v>
      </c>
      <c r="I14" s="333" t="s">
        <v>7</v>
      </c>
      <c r="J14" s="334"/>
      <c r="K14" s="334"/>
      <c r="L14" s="334"/>
      <c r="M14" s="334"/>
      <c r="N14" s="335"/>
    </row>
    <row r="15" spans="1:18" ht="18">
      <c r="A15" s="340"/>
      <c r="B15" s="338"/>
      <c r="C15" s="336"/>
      <c r="D15" s="363"/>
      <c r="E15" s="117" t="s">
        <v>152</v>
      </c>
      <c r="F15" s="352">
        <v>30</v>
      </c>
      <c r="G15" s="353"/>
      <c r="H15" s="121" t="s">
        <v>8</v>
      </c>
      <c r="I15" s="333" t="s">
        <v>490</v>
      </c>
      <c r="J15" s="334"/>
      <c r="K15" s="334"/>
      <c r="L15" s="334"/>
      <c r="M15" s="334"/>
      <c r="N15" s="335"/>
    </row>
    <row r="16" spans="1:18" ht="18">
      <c r="A16" s="340"/>
      <c r="B16" s="338"/>
      <c r="C16" s="336"/>
      <c r="D16" s="363"/>
      <c r="E16" s="117" t="s">
        <v>9</v>
      </c>
      <c r="F16" s="352">
        <v>15</v>
      </c>
      <c r="G16" s="353"/>
      <c r="H16" s="121" t="s">
        <v>8</v>
      </c>
      <c r="I16" s="333" t="s">
        <v>491</v>
      </c>
      <c r="J16" s="334"/>
      <c r="K16" s="334"/>
      <c r="L16" s="334"/>
      <c r="M16" s="334"/>
      <c r="N16" s="335"/>
      <c r="O16" s="232"/>
    </row>
    <row r="17" spans="1:14 1025:1025" ht="18">
      <c r="A17" s="340"/>
      <c r="B17" s="338"/>
      <c r="C17" s="336"/>
      <c r="D17" s="363"/>
      <c r="E17" s="118" t="s">
        <v>145</v>
      </c>
      <c r="F17" s="366">
        <v>5</v>
      </c>
      <c r="G17" s="366"/>
      <c r="H17" s="121" t="s">
        <v>146</v>
      </c>
      <c r="I17" s="333" t="s">
        <v>330</v>
      </c>
      <c r="J17" s="334"/>
      <c r="K17" s="334"/>
      <c r="L17" s="334"/>
      <c r="M17" s="334"/>
      <c r="N17" s="335"/>
    </row>
    <row r="18" spans="1:14 1025:1025" ht="18">
      <c r="A18" s="340"/>
      <c r="B18" s="338"/>
      <c r="C18" s="336"/>
      <c r="D18" s="363"/>
      <c r="E18" s="122" t="s">
        <v>195</v>
      </c>
      <c r="F18" s="352">
        <v>1</v>
      </c>
      <c r="G18" s="353"/>
      <c r="H18" s="121" t="s">
        <v>214</v>
      </c>
      <c r="I18" s="333" t="s">
        <v>328</v>
      </c>
      <c r="J18" s="334"/>
      <c r="K18" s="334"/>
      <c r="L18" s="334"/>
      <c r="M18" s="334"/>
      <c r="N18" s="335"/>
    </row>
    <row r="19" spans="1:14 1025:1025" ht="18">
      <c r="A19" s="340"/>
      <c r="B19" s="338"/>
      <c r="C19" s="336"/>
      <c r="D19" s="363"/>
      <c r="E19" s="117" t="s">
        <v>12</v>
      </c>
      <c r="F19" s="228" t="s">
        <v>10</v>
      </c>
      <c r="G19" s="227">
        <v>5</v>
      </c>
      <c r="H19" s="121" t="s">
        <v>214</v>
      </c>
      <c r="I19" s="344" t="s">
        <v>489</v>
      </c>
      <c r="J19" s="345"/>
      <c r="K19" s="345"/>
      <c r="L19" s="345"/>
      <c r="M19" s="345"/>
      <c r="N19" s="346"/>
    </row>
    <row r="20" spans="1:14 1025:1025" ht="15.6">
      <c r="A20" s="340"/>
      <c r="B20" s="338"/>
      <c r="C20" s="336"/>
      <c r="D20" s="363"/>
      <c r="E20" s="119" t="s">
        <v>119</v>
      </c>
      <c r="F20" s="352">
        <v>91</v>
      </c>
      <c r="G20" s="353"/>
      <c r="H20" s="119" t="s">
        <v>11</v>
      </c>
      <c r="I20" s="333" t="s">
        <v>199</v>
      </c>
      <c r="J20" s="334"/>
      <c r="K20" s="334"/>
      <c r="L20" s="334"/>
      <c r="M20" s="334"/>
      <c r="N20" s="335"/>
      <c r="AMK20"/>
    </row>
    <row r="21" spans="1:14 1025:1025" ht="15.75" hidden="1" customHeight="1">
      <c r="A21" s="340"/>
      <c r="B21" s="47"/>
      <c r="C21" s="48"/>
      <c r="D21" s="48"/>
      <c r="E21" s="16" t="s">
        <v>16</v>
      </c>
      <c r="F21" s="354" t="s">
        <v>81</v>
      </c>
      <c r="G21" s="354"/>
      <c r="I21" s="48" t="s">
        <v>17</v>
      </c>
      <c r="J21" s="48"/>
      <c r="K21" s="48"/>
      <c r="L21" s="48"/>
      <c r="M21" s="48"/>
      <c r="N21" s="51"/>
    </row>
    <row r="22" spans="1:14 1025:1025" ht="15.6">
      <c r="A22" s="340"/>
      <c r="B22" s="338"/>
      <c r="C22" s="336"/>
      <c r="D22" s="336"/>
      <c r="E22" s="336"/>
      <c r="F22" s="336"/>
      <c r="G22" s="336"/>
      <c r="H22" s="336"/>
      <c r="I22" s="336"/>
      <c r="J22" s="336"/>
      <c r="K22" s="336"/>
      <c r="L22" s="336"/>
      <c r="M22" s="336"/>
      <c r="N22" s="337"/>
    </row>
    <row r="23" spans="1:14 1025:1025" ht="18.75" customHeight="1">
      <c r="A23" s="340"/>
      <c r="B23" s="355" t="s">
        <v>18</v>
      </c>
      <c r="C23" s="356"/>
      <c r="D23" s="356"/>
      <c r="E23" s="356"/>
      <c r="F23" s="356"/>
      <c r="G23" s="356"/>
      <c r="H23" s="356"/>
      <c r="I23" s="356"/>
      <c r="J23" s="356"/>
      <c r="K23" s="356"/>
      <c r="L23" s="356"/>
      <c r="M23" s="356"/>
      <c r="N23" s="357"/>
    </row>
    <row r="24" spans="1:14 1025:1025" ht="15.6">
      <c r="A24" s="340"/>
      <c r="B24" s="338"/>
      <c r="C24" s="336"/>
      <c r="D24" s="336"/>
      <c r="E24" s="331"/>
      <c r="F24" s="331"/>
      <c r="G24" s="331"/>
      <c r="H24" s="331"/>
      <c r="I24" s="331"/>
      <c r="J24" s="331"/>
      <c r="K24" s="331"/>
      <c r="L24" s="331"/>
      <c r="M24" s="331"/>
      <c r="N24" s="332"/>
    </row>
    <row r="25" spans="1:14 1025:1025" ht="15.6">
      <c r="A25" s="340"/>
      <c r="B25" s="338"/>
      <c r="C25" s="336"/>
      <c r="D25" s="336"/>
      <c r="E25" s="375" t="s">
        <v>287</v>
      </c>
      <c r="F25" s="362" t="s">
        <v>1</v>
      </c>
      <c r="G25" s="362"/>
      <c r="H25" s="375" t="s">
        <v>2</v>
      </c>
      <c r="I25" s="330"/>
      <c r="J25" s="331"/>
      <c r="K25" s="331"/>
      <c r="L25" s="331"/>
      <c r="M25" s="331"/>
      <c r="N25" s="332"/>
    </row>
    <row r="26" spans="1:14 1025:1025" ht="15.6">
      <c r="A26" s="340"/>
      <c r="B26" s="338"/>
      <c r="C26" s="336"/>
      <c r="D26" s="336"/>
      <c r="E26" s="375"/>
      <c r="F26" s="5" t="s">
        <v>19</v>
      </c>
      <c r="G26" s="5" t="s">
        <v>20</v>
      </c>
      <c r="H26" s="375"/>
      <c r="I26" s="330"/>
      <c r="J26" s="331"/>
      <c r="K26" s="331"/>
      <c r="L26" s="331"/>
      <c r="M26" s="331"/>
      <c r="N26" s="332"/>
    </row>
    <row r="27" spans="1:14 1025:1025" ht="15.6">
      <c r="A27" s="340"/>
      <c r="B27" s="338"/>
      <c r="C27" s="336"/>
      <c r="D27" s="336"/>
      <c r="E27" s="5" t="s">
        <v>21</v>
      </c>
      <c r="F27" s="215">
        <f>ROUNDUP(Iomax/40,0)</f>
        <v>1</v>
      </c>
      <c r="G27" s="129" t="s">
        <v>48</v>
      </c>
      <c r="H27" s="6">
        <f>IF(G27="one_phase",1,IF(G27="two_phase",2,IF(G27="three_phase",3,4)))</f>
        <v>1</v>
      </c>
      <c r="I27" s="330"/>
      <c r="J27" s="331"/>
      <c r="K27" s="331"/>
      <c r="L27" s="331"/>
      <c r="M27" s="331"/>
      <c r="N27" s="332"/>
    </row>
    <row r="28" spans="1:14 1025:1025" ht="15.6">
      <c r="A28" s="340"/>
      <c r="B28" s="338"/>
      <c r="C28" s="336"/>
      <c r="D28" s="336"/>
      <c r="E28" s="5" t="s">
        <v>22</v>
      </c>
      <c r="F28" s="376">
        <v>500</v>
      </c>
      <c r="G28" s="376"/>
      <c r="H28" s="6" t="s">
        <v>23</v>
      </c>
      <c r="I28" s="333" t="s">
        <v>201</v>
      </c>
      <c r="J28" s="334"/>
      <c r="K28" s="334"/>
      <c r="L28" s="334"/>
      <c r="M28" s="334"/>
      <c r="N28" s="335"/>
    </row>
    <row r="29" spans="1:14 1025:1025" ht="18">
      <c r="A29" s="340"/>
      <c r="B29" s="338"/>
      <c r="C29" s="336"/>
      <c r="D29" s="336"/>
      <c r="E29" s="5" t="s">
        <v>154</v>
      </c>
      <c r="F29" s="374">
        <f>VLOOKUP(Fsw,IF({1,0},IF(Np=OP_Mode!L8,OP_Mode!L10:L25,IF(Np=OP_Mode!M8,OP_Mode!M10:M25,IF(Np=OP_Mode!N8,OP_Mode!N10:N25,OP_Mode!O10:O25))),OP_Mode!C10:C25),2,0)</f>
        <v>33.200000000000003</v>
      </c>
      <c r="G29" s="374"/>
      <c r="H29" s="6" t="s">
        <v>24</v>
      </c>
      <c r="I29" s="333" t="s">
        <v>340</v>
      </c>
      <c r="J29" s="334"/>
      <c r="K29" s="334"/>
      <c r="L29" s="334"/>
      <c r="M29" s="334"/>
      <c r="N29" s="335"/>
    </row>
    <row r="30" spans="1:14 1025:1025" ht="15.6">
      <c r="A30" s="340"/>
      <c r="B30" s="338"/>
      <c r="C30" s="336"/>
      <c r="D30" s="336"/>
      <c r="E30" s="331"/>
      <c r="F30" s="331"/>
      <c r="G30" s="331"/>
      <c r="H30" s="331"/>
      <c r="I30" s="331"/>
      <c r="J30" s="331"/>
      <c r="K30" s="331"/>
      <c r="L30" s="331"/>
      <c r="M30" s="331"/>
      <c r="N30" s="332"/>
    </row>
    <row r="31" spans="1:14 1025:1025" ht="18">
      <c r="A31" s="340"/>
      <c r="B31" s="338"/>
      <c r="C31" s="336"/>
      <c r="D31" s="336"/>
      <c r="E31" s="5" t="s">
        <v>320</v>
      </c>
      <c r="F31" s="215">
        <f>IF(F14&lt;1.3,1,IF(F14&lt;2.4,0.5,0.25))</f>
        <v>1</v>
      </c>
      <c r="G31" s="129" t="s">
        <v>46</v>
      </c>
      <c r="H31" s="6">
        <f>IF(G31="One",1,IF(G31="Half",0.5,0.25))</f>
        <v>1</v>
      </c>
      <c r="I31" s="330"/>
      <c r="J31" s="331"/>
      <c r="K31" s="331"/>
      <c r="L31" s="331"/>
      <c r="M31" s="331"/>
      <c r="N31" s="332"/>
    </row>
    <row r="32" spans="1:14 1025:1025" ht="15.6">
      <c r="A32" s="340"/>
      <c r="B32" s="338"/>
      <c r="C32" s="336"/>
      <c r="D32" s="336"/>
      <c r="E32" s="5" t="s">
        <v>25</v>
      </c>
      <c r="F32" s="372">
        <v>3</v>
      </c>
      <c r="G32" s="373"/>
      <c r="H32" s="7" t="s">
        <v>26</v>
      </c>
      <c r="I32" s="333" t="s">
        <v>321</v>
      </c>
      <c r="J32" s="334"/>
      <c r="K32" s="334"/>
      <c r="L32" s="334"/>
      <c r="M32" s="334"/>
      <c r="N32" s="335"/>
    </row>
    <row r="33" spans="1:14" ht="18">
      <c r="A33" s="340"/>
      <c r="B33" s="338"/>
      <c r="C33" s="336"/>
      <c r="D33" s="336"/>
      <c r="E33" s="5" t="s">
        <v>44</v>
      </c>
      <c r="F33" s="214" cm="1">
        <f t="array" ref="F33">VLOOKUP(F32&amp;F31,IF({1,0},OP_Mode!G10:G25&amp;OP_Mode!H10:H25,OP_Mode!C10:C25),2,0)</f>
        <v>15</v>
      </c>
      <c r="G33" s="214" cm="1">
        <f t="array" ref="G33">VLOOKUP(F32&amp;H31,IF({1,0},OP_Mode!G10:G25&amp;OP_Mode!H10:H25,OP_Mode!C10:C25),2,0)</f>
        <v>15</v>
      </c>
      <c r="H33" s="6" t="s">
        <v>24</v>
      </c>
      <c r="I33" s="333" t="s">
        <v>341</v>
      </c>
      <c r="J33" s="334"/>
      <c r="K33" s="334"/>
      <c r="L33" s="334"/>
      <c r="M33" s="334"/>
      <c r="N33" s="335"/>
    </row>
    <row r="34" spans="1:14" ht="15.6">
      <c r="A34" s="340"/>
      <c r="B34" s="338"/>
      <c r="C34" s="336"/>
      <c r="D34" s="336"/>
      <c r="E34" s="331"/>
      <c r="F34" s="331"/>
      <c r="G34" s="331"/>
      <c r="H34" s="331"/>
      <c r="I34" s="331"/>
      <c r="J34" s="331"/>
      <c r="K34" s="331"/>
      <c r="L34" s="331"/>
      <c r="M34" s="331"/>
      <c r="N34" s="332"/>
    </row>
    <row r="35" spans="1:14" ht="15.6">
      <c r="A35" s="340"/>
      <c r="B35" s="338"/>
      <c r="C35" s="336"/>
      <c r="D35" s="336"/>
      <c r="E35" s="5" t="s">
        <v>27</v>
      </c>
      <c r="F35" s="7" t="s">
        <v>28</v>
      </c>
      <c r="G35" s="129" t="s">
        <v>38</v>
      </c>
      <c r="H35" s="7" t="s">
        <v>28</v>
      </c>
      <c r="I35" s="333" t="s">
        <v>29</v>
      </c>
      <c r="J35" s="334"/>
      <c r="K35" s="334"/>
      <c r="L35" s="334"/>
      <c r="M35" s="334"/>
      <c r="N35" s="335"/>
    </row>
    <row r="36" spans="1:14" ht="18">
      <c r="A36" s="340"/>
      <c r="B36" s="338"/>
      <c r="C36" s="336"/>
      <c r="D36" s="336"/>
      <c r="E36" s="5" t="s">
        <v>172</v>
      </c>
      <c r="F36" s="374" cm="1">
        <f t="array" ref="F36">VLOOKUP(Np&amp;G35,IF({1,0},OP_Mode!J10:J25&amp;OP_Mode!K10:K25,OP_Mode!C10:C25),2,0)</f>
        <v>10</v>
      </c>
      <c r="G36" s="374"/>
      <c r="H36" s="6" t="s">
        <v>24</v>
      </c>
      <c r="I36" s="333" t="s">
        <v>342</v>
      </c>
      <c r="J36" s="334"/>
      <c r="K36" s="334"/>
      <c r="L36" s="334"/>
      <c r="M36" s="334"/>
      <c r="N36" s="335"/>
    </row>
    <row r="37" spans="1:14" ht="15.6">
      <c r="A37" s="340"/>
      <c r="B37" s="338"/>
      <c r="C37" s="336"/>
      <c r="D37" s="336"/>
      <c r="E37" s="331"/>
      <c r="F37" s="331"/>
      <c r="G37" s="331"/>
      <c r="H37" s="331"/>
      <c r="I37" s="331"/>
      <c r="J37" s="331"/>
      <c r="K37" s="331"/>
      <c r="L37" s="331"/>
      <c r="M37" s="331"/>
      <c r="N37" s="332"/>
    </row>
    <row r="38" spans="1:14" ht="18">
      <c r="A38" s="340"/>
      <c r="B38" s="338"/>
      <c r="C38" s="336"/>
      <c r="D38" s="336"/>
      <c r="E38" s="8" t="s">
        <v>30</v>
      </c>
      <c r="F38" s="216">
        <f>ROUNDUP(IF(Np=1,1.15*F15/H27-0.5*G84,1.25*F15/H27-0.5*G84),1)</f>
        <v>29.5</v>
      </c>
      <c r="G38" s="129">
        <v>32</v>
      </c>
      <c r="H38" s="112" t="s">
        <v>191</v>
      </c>
      <c r="I38" s="333" t="s">
        <v>153</v>
      </c>
      <c r="J38" s="334"/>
      <c r="K38" s="334"/>
      <c r="L38" s="339" t="str">
        <f>IF(G88&gt;Iomax*1.5,"Consider choosing a lower current limit value","  ")</f>
        <v xml:space="preserve">  </v>
      </c>
      <c r="M38" s="339"/>
      <c r="N38" s="51"/>
    </row>
    <row r="39" spans="1:14" ht="18">
      <c r="A39" s="340"/>
      <c r="B39" s="338"/>
      <c r="C39" s="336"/>
      <c r="D39" s="336"/>
      <c r="E39" s="5" t="s">
        <v>43</v>
      </c>
      <c r="F39" s="374">
        <f>VLOOKUP(G38,IF({1,0},OP_Mode!I10:I25,OP_Mode!C10:C25),2,0)</f>
        <v>56.2</v>
      </c>
      <c r="G39" s="374"/>
      <c r="H39" s="6" t="s">
        <v>24</v>
      </c>
      <c r="I39" s="333" t="s">
        <v>343</v>
      </c>
      <c r="J39" s="334"/>
      <c r="K39" s="334"/>
      <c r="L39" s="339"/>
      <c r="M39" s="339"/>
      <c r="N39" s="51"/>
    </row>
    <row r="40" spans="1:14" ht="15.6">
      <c r="A40" s="340"/>
      <c r="B40" s="338"/>
      <c r="C40" s="336"/>
      <c r="D40" s="336"/>
      <c r="E40" s="331"/>
      <c r="F40" s="331"/>
      <c r="G40" s="331"/>
      <c r="H40" s="331"/>
      <c r="I40" s="331"/>
      <c r="J40" s="331"/>
      <c r="K40" s="331"/>
      <c r="L40" s="331"/>
      <c r="M40" s="331"/>
      <c r="N40" s="332"/>
    </row>
    <row r="41" spans="1:14" ht="18">
      <c r="A41" s="340"/>
      <c r="B41" s="338"/>
      <c r="C41" s="336"/>
      <c r="D41" s="336"/>
      <c r="E41" s="5" t="s">
        <v>190</v>
      </c>
      <c r="F41" s="374">
        <f>VLOOKUP(Vo,IF({1,0},OP_Mode!D39:D86,OP_Mode!E39:E86),2,)</f>
        <v>182</v>
      </c>
      <c r="G41" s="374"/>
      <c r="H41" s="6" t="s">
        <v>24</v>
      </c>
      <c r="I41" s="333" t="s">
        <v>344</v>
      </c>
      <c r="J41" s="334"/>
      <c r="K41" s="334"/>
      <c r="L41" s="334"/>
      <c r="M41" s="334"/>
      <c r="N41" s="335"/>
    </row>
    <row r="42" spans="1:14" ht="15.6">
      <c r="A42" s="340"/>
      <c r="B42" s="338"/>
      <c r="C42" s="336"/>
      <c r="D42" s="336"/>
      <c r="E42" s="331"/>
      <c r="F42" s="331"/>
      <c r="G42" s="331"/>
      <c r="H42" s="331"/>
      <c r="I42" s="331"/>
      <c r="J42" s="331"/>
      <c r="K42" s="331"/>
      <c r="L42" s="331"/>
      <c r="M42" s="331"/>
      <c r="N42" s="332"/>
    </row>
    <row r="43" spans="1:14" ht="18.75" customHeight="1">
      <c r="A43" s="340"/>
      <c r="B43" s="355" t="s">
        <v>64</v>
      </c>
      <c r="C43" s="356"/>
      <c r="D43" s="356"/>
      <c r="E43" s="356"/>
      <c r="F43" s="356"/>
      <c r="G43" s="356"/>
      <c r="H43" s="356"/>
      <c r="I43" s="356"/>
      <c r="J43" s="356"/>
      <c r="K43" s="356"/>
      <c r="L43" s="356"/>
      <c r="M43" s="356"/>
      <c r="N43" s="357"/>
    </row>
    <row r="44" spans="1:14" ht="15.6">
      <c r="A44" s="340"/>
      <c r="B44" s="338"/>
      <c r="C44" s="336"/>
      <c r="D44" s="336"/>
      <c r="E44" s="336"/>
      <c r="F44" s="336"/>
      <c r="G44" s="336"/>
      <c r="H44" s="336"/>
      <c r="I44" s="336"/>
      <c r="J44" s="336"/>
      <c r="K44" s="336"/>
      <c r="L44" s="336"/>
      <c r="M44" s="336"/>
      <c r="N44" s="337"/>
    </row>
    <row r="45" spans="1:14" ht="15.6">
      <c r="A45" s="340"/>
      <c r="B45" s="338"/>
      <c r="C45" s="336"/>
      <c r="D45" s="336"/>
      <c r="E45" s="29" t="s">
        <v>55</v>
      </c>
      <c r="F45" s="367" t="s">
        <v>81</v>
      </c>
      <c r="G45" s="367"/>
      <c r="H45" s="367"/>
      <c r="I45" s="333" t="s">
        <v>329</v>
      </c>
      <c r="J45" s="334"/>
      <c r="K45" s="331"/>
      <c r="L45" s="331"/>
      <c r="M45" s="331"/>
      <c r="N45" s="332"/>
    </row>
    <row r="46" spans="1:14" ht="15.6">
      <c r="A46" s="340"/>
      <c r="B46" s="338"/>
      <c r="C46" s="336"/>
      <c r="D46" s="336"/>
      <c r="E46" s="27"/>
      <c r="F46" s="27"/>
      <c r="G46" s="27"/>
      <c r="H46" s="126"/>
      <c r="I46" s="330"/>
      <c r="J46" s="331"/>
      <c r="K46" s="331"/>
      <c r="L46" s="331"/>
      <c r="M46" s="331"/>
      <c r="N46" s="332"/>
    </row>
    <row r="47" spans="1:14" ht="15.6">
      <c r="A47" s="340"/>
      <c r="B47" s="338"/>
      <c r="C47" s="336"/>
      <c r="D47" s="336"/>
      <c r="E47" s="368" t="s">
        <v>287</v>
      </c>
      <c r="F47" s="369" t="s">
        <v>52</v>
      </c>
      <c r="G47" s="369"/>
      <c r="H47" s="368" t="s">
        <v>53</v>
      </c>
      <c r="I47" s="330"/>
      <c r="J47" s="331"/>
      <c r="K47" s="331"/>
      <c r="L47" s="331"/>
      <c r="M47" s="331"/>
      <c r="N47" s="332"/>
    </row>
    <row r="48" spans="1:14" ht="15.6">
      <c r="A48" s="340"/>
      <c r="B48" s="338"/>
      <c r="C48" s="336"/>
      <c r="D48" s="336"/>
      <c r="E48" s="368"/>
      <c r="F48" s="29" t="s">
        <v>56</v>
      </c>
      <c r="G48" s="29" t="s">
        <v>20</v>
      </c>
      <c r="H48" s="368"/>
      <c r="I48" s="330"/>
      <c r="J48" s="331"/>
      <c r="K48" s="331"/>
      <c r="L48" s="331"/>
      <c r="M48" s="331"/>
      <c r="N48" s="332"/>
    </row>
    <row r="49" spans="1:16" ht="18">
      <c r="A49" s="340"/>
      <c r="B49" s="338"/>
      <c r="C49" s="336"/>
      <c r="D49" s="336"/>
      <c r="E49" s="30" t="s">
        <v>61</v>
      </c>
      <c r="F49" s="217" t="str">
        <f>IF(uvlo=1,8,"NA")</f>
        <v>NA</v>
      </c>
      <c r="G49" s="40" t="str">
        <f>IF(uvlo=1,EN_Vin_UVLO!E16, " ")</f>
        <v xml:space="preserve"> </v>
      </c>
      <c r="H49" s="358" t="s">
        <v>54</v>
      </c>
      <c r="I49" s="333" t="s">
        <v>182</v>
      </c>
      <c r="J49" s="334"/>
      <c r="K49" s="331"/>
      <c r="L49" s="331"/>
      <c r="M49" s="331"/>
      <c r="N49" s="332"/>
    </row>
    <row r="50" spans="1:16" ht="18">
      <c r="A50" s="340"/>
      <c r="B50" s="338"/>
      <c r="C50" s="336"/>
      <c r="D50" s="336"/>
      <c r="E50" s="30" t="s">
        <v>62</v>
      </c>
      <c r="F50" s="217" t="str">
        <f>IF(uvlo=1,10,"NA")</f>
        <v>NA</v>
      </c>
      <c r="G50" s="40" t="str">
        <f>IF(uvlo=1,EN_Vin_UVLO!E15," ")</f>
        <v xml:space="preserve"> </v>
      </c>
      <c r="H50" s="358"/>
      <c r="I50" s="333" t="s">
        <v>183</v>
      </c>
      <c r="J50" s="334"/>
      <c r="K50" s="331"/>
      <c r="L50" s="331"/>
      <c r="M50" s="331"/>
      <c r="N50" s="332"/>
    </row>
    <row r="51" spans="1:16" ht="18">
      <c r="A51" s="340"/>
      <c r="B51" s="338"/>
      <c r="C51" s="336"/>
      <c r="D51" s="336"/>
      <c r="E51" s="30" t="s">
        <v>63</v>
      </c>
      <c r="F51" s="40" t="str">
        <f>IF(uvlo=1,F50-F49," ")</f>
        <v xml:space="preserve"> </v>
      </c>
      <c r="G51" s="40" t="str">
        <f>IF(uvlo=1,G50-G49," ")</f>
        <v xml:space="preserve"> </v>
      </c>
      <c r="H51" s="358"/>
      <c r="I51" s="333" t="s">
        <v>57</v>
      </c>
      <c r="J51" s="334"/>
      <c r="K51" s="331"/>
      <c r="L51" s="331"/>
      <c r="M51" s="331"/>
      <c r="N51" s="332"/>
    </row>
    <row r="52" spans="1:16" ht="15.6">
      <c r="A52" s="340"/>
      <c r="B52" s="338"/>
      <c r="C52" s="336"/>
      <c r="D52" s="336"/>
      <c r="E52" s="31" t="s">
        <v>60</v>
      </c>
      <c r="F52" s="40" t="str">
        <f>IF(uvlo=1,EN_Vin_UVLO!E14," ")</f>
        <v xml:space="preserve"> </v>
      </c>
      <c r="G52" s="217" t="str">
        <f>IF(uvlo=1,51,"NA")</f>
        <v>NA</v>
      </c>
      <c r="H52" s="358" t="s">
        <v>24</v>
      </c>
      <c r="I52" s="330"/>
      <c r="J52" s="331"/>
      <c r="K52" s="331"/>
      <c r="L52" s="331"/>
      <c r="M52" s="331"/>
      <c r="N52" s="332"/>
    </row>
    <row r="53" spans="1:16" ht="15.6">
      <c r="A53" s="340"/>
      <c r="B53" s="338"/>
      <c r="C53" s="336"/>
      <c r="D53" s="336"/>
      <c r="E53" s="31" t="s">
        <v>59</v>
      </c>
      <c r="F53" s="40" t="str">
        <f>IF(uvlo=1,EN_Vin_UVLO!E13," ")</f>
        <v xml:space="preserve"> </v>
      </c>
      <c r="G53" s="217" t="str">
        <f>IF(uvlo=1,6.8,"NA")</f>
        <v>NA</v>
      </c>
      <c r="H53" s="358"/>
      <c r="I53" s="330"/>
      <c r="J53" s="331"/>
      <c r="K53" s="331"/>
      <c r="L53" s="331"/>
      <c r="M53" s="331"/>
      <c r="N53" s="332"/>
    </row>
    <row r="54" spans="1:16" ht="15.6">
      <c r="A54" s="340"/>
      <c r="B54" s="338"/>
      <c r="C54" s="336"/>
      <c r="D54" s="336"/>
      <c r="E54" s="28"/>
      <c r="F54" s="28"/>
      <c r="G54" s="28"/>
      <c r="H54" s="127"/>
      <c r="I54" s="330"/>
      <c r="J54" s="331"/>
      <c r="K54" s="331"/>
      <c r="L54" s="331"/>
      <c r="M54" s="331"/>
      <c r="N54" s="332"/>
    </row>
    <row r="55" spans="1:16" ht="18">
      <c r="A55" s="340"/>
      <c r="B55" s="338"/>
      <c r="C55" s="336"/>
      <c r="D55" s="336"/>
      <c r="E55" s="30" t="s">
        <v>78</v>
      </c>
      <c r="F55" s="217">
        <v>0.99199999999999999</v>
      </c>
      <c r="G55" s="202">
        <f>IF(uvlo=0,F56-EN_Vin_UVLO!E7*0.001*(G58+EN_Vin_UVLO!E8)," ")</f>
        <v>0.99199999999999999</v>
      </c>
      <c r="H55" s="358" t="s">
        <v>54</v>
      </c>
      <c r="I55" s="333" t="s">
        <v>184</v>
      </c>
      <c r="J55" s="334"/>
      <c r="K55" s="331"/>
      <c r="L55" s="331"/>
      <c r="M55" s="331"/>
      <c r="N55" s="332"/>
    </row>
    <row r="56" spans="1:16" ht="18">
      <c r="A56" s="340"/>
      <c r="B56" s="338"/>
      <c r="C56" s="336"/>
      <c r="D56" s="336"/>
      <c r="E56" s="30" t="s">
        <v>79</v>
      </c>
      <c r="F56" s="218">
        <f>IF(uvlo=0,1.2," ")</f>
        <v>1.2</v>
      </c>
      <c r="G56" s="40">
        <f>IF(uvlo=0,F56," ")</f>
        <v>1.2</v>
      </c>
      <c r="H56" s="358"/>
      <c r="I56" s="333" t="s">
        <v>185</v>
      </c>
      <c r="J56" s="334"/>
      <c r="K56" s="331"/>
      <c r="L56" s="331"/>
      <c r="M56" s="331"/>
      <c r="N56" s="332"/>
    </row>
    <row r="57" spans="1:16" ht="18">
      <c r="A57" s="340"/>
      <c r="B57" s="338"/>
      <c r="C57" s="336"/>
      <c r="D57" s="336"/>
      <c r="E57" s="30" t="s">
        <v>77</v>
      </c>
      <c r="F57" s="40">
        <f>IF(uvlo=0,F56-F55," ")</f>
        <v>0.20799999999999996</v>
      </c>
      <c r="G57" s="40">
        <f>IF(uvlo=0,G56-G55," ")</f>
        <v>0.20799999999999996</v>
      </c>
      <c r="H57" s="358"/>
      <c r="I57" s="333" t="s">
        <v>58</v>
      </c>
      <c r="J57" s="334"/>
      <c r="K57" s="331"/>
      <c r="L57" s="331"/>
      <c r="M57" s="331"/>
      <c r="N57" s="332"/>
    </row>
    <row r="58" spans="1:16" ht="18">
      <c r="A58" s="340"/>
      <c r="B58" s="338"/>
      <c r="C58" s="336"/>
      <c r="D58" s="336"/>
      <c r="E58" s="31" t="s">
        <v>76</v>
      </c>
      <c r="F58" s="40">
        <f>IF(uvlo=0,EN_Vin_UVLO!E18," ")</f>
        <v>0</v>
      </c>
      <c r="G58" s="217">
        <v>0</v>
      </c>
      <c r="H58" s="41" t="s">
        <v>24</v>
      </c>
      <c r="I58" s="330"/>
      <c r="J58" s="331"/>
      <c r="K58" s="331"/>
      <c r="L58" s="331"/>
      <c r="M58" s="331"/>
      <c r="N58" s="332"/>
    </row>
    <row r="59" spans="1:16" ht="15.6">
      <c r="A59" s="340"/>
      <c r="B59" s="338"/>
      <c r="C59" s="336"/>
      <c r="D59" s="336"/>
      <c r="E59" s="331"/>
      <c r="F59" s="331"/>
      <c r="G59" s="331"/>
      <c r="H59" s="331"/>
      <c r="I59" s="331"/>
      <c r="J59" s="331"/>
      <c r="K59" s="331"/>
      <c r="L59" s="331"/>
      <c r="M59" s="331"/>
      <c r="N59" s="332"/>
    </row>
    <row r="60" spans="1:16" ht="18.75" customHeight="1">
      <c r="A60" s="340"/>
      <c r="B60" s="355" t="s">
        <v>137</v>
      </c>
      <c r="C60" s="356"/>
      <c r="D60" s="356"/>
      <c r="E60" s="356"/>
      <c r="F60" s="356"/>
      <c r="G60" s="356"/>
      <c r="H60" s="356"/>
      <c r="I60" s="356"/>
      <c r="J60" s="356"/>
      <c r="K60" s="356"/>
      <c r="L60" s="356"/>
      <c r="M60" s="356"/>
      <c r="N60" s="357"/>
    </row>
    <row r="61" spans="1:16" ht="15.6">
      <c r="A61" s="340"/>
      <c r="B61" s="47"/>
      <c r="C61" s="48"/>
      <c r="D61" s="48"/>
      <c r="E61" s="49"/>
      <c r="F61" s="48"/>
      <c r="G61" s="48"/>
      <c r="H61" s="48"/>
      <c r="I61" s="50"/>
      <c r="J61" s="50"/>
      <c r="K61" s="50"/>
      <c r="L61" s="48"/>
      <c r="M61" s="48"/>
      <c r="N61" s="51"/>
      <c r="P61" s="232"/>
    </row>
    <row r="62" spans="1:16" ht="15.6">
      <c r="A62" s="340"/>
      <c r="B62" s="47"/>
      <c r="C62" s="48"/>
      <c r="D62" s="48"/>
      <c r="E62" s="370" t="s">
        <v>287</v>
      </c>
      <c r="F62" s="377" t="s">
        <v>82</v>
      </c>
      <c r="G62" s="378"/>
      <c r="H62" s="370" t="s">
        <v>83</v>
      </c>
      <c r="I62" s="44"/>
      <c r="J62" s="50"/>
      <c r="K62" s="50"/>
      <c r="L62" s="48"/>
      <c r="M62" s="48"/>
      <c r="N62" s="51"/>
    </row>
    <row r="63" spans="1:16" ht="15.6">
      <c r="A63" s="340"/>
      <c r="B63" s="47"/>
      <c r="C63" s="48"/>
      <c r="D63" s="48"/>
      <c r="E63" s="371"/>
      <c r="F63" s="29" t="s">
        <v>84</v>
      </c>
      <c r="G63" s="29" t="s">
        <v>85</v>
      </c>
      <c r="H63" s="371"/>
      <c r="I63" s="44"/>
      <c r="J63" s="50"/>
      <c r="K63" s="50"/>
      <c r="L63" s="48"/>
      <c r="M63" s="48"/>
      <c r="N63" s="51"/>
    </row>
    <row r="64" spans="1:16" ht="18">
      <c r="A64" s="340"/>
      <c r="B64" s="47"/>
      <c r="C64" s="43"/>
      <c r="D64" s="349" t="s">
        <v>110</v>
      </c>
      <c r="E64" s="90" t="s">
        <v>117</v>
      </c>
      <c r="F64" s="130">
        <f>Cin_Cout!D92*1000000</f>
        <v>38.275200230150773</v>
      </c>
      <c r="G64" s="219">
        <f>G67*G68*G69</f>
        <v>31.68</v>
      </c>
      <c r="H64" s="63" t="s">
        <v>97</v>
      </c>
      <c r="I64" s="53" t="s">
        <v>203</v>
      </c>
      <c r="J64" s="50"/>
      <c r="K64" s="50"/>
      <c r="L64" s="48"/>
      <c r="M64" s="48"/>
      <c r="N64" s="51"/>
    </row>
    <row r="65" spans="1:15" ht="18">
      <c r="A65" s="340"/>
      <c r="B65" s="47"/>
      <c r="C65" s="43"/>
      <c r="D65" s="350"/>
      <c r="E65" s="90" t="s">
        <v>118</v>
      </c>
      <c r="F65" s="220">
        <f>Cin_Cout!D93*1000</f>
        <v>2.6666666666666665</v>
      </c>
      <c r="G65" s="133">
        <f>G70/G67</f>
        <v>0.375</v>
      </c>
      <c r="H65" s="63" t="s">
        <v>95</v>
      </c>
      <c r="I65" s="45"/>
      <c r="J65" s="50"/>
      <c r="K65" s="50"/>
      <c r="L65" s="48"/>
      <c r="M65" s="48"/>
      <c r="N65" s="51"/>
    </row>
    <row r="66" spans="1:15" ht="18">
      <c r="A66" s="340"/>
      <c r="B66" s="47"/>
      <c r="C66" s="43"/>
      <c r="D66" s="350"/>
      <c r="E66" s="90" t="s">
        <v>121</v>
      </c>
      <c r="F66" s="65" t="s">
        <v>120</v>
      </c>
      <c r="G66" s="219">
        <f>ROUND(G71/G67,2)</f>
        <v>0.13</v>
      </c>
      <c r="H66" s="62" t="s">
        <v>135</v>
      </c>
      <c r="I66" s="45"/>
      <c r="J66" s="50"/>
      <c r="K66" s="50"/>
      <c r="L66" s="48"/>
      <c r="M66" s="48"/>
      <c r="N66" s="51"/>
    </row>
    <row r="67" spans="1:15" ht="16.2" customHeight="1">
      <c r="A67" s="340"/>
      <c r="B67" s="54"/>
      <c r="C67" s="43"/>
      <c r="D67" s="350"/>
      <c r="E67" s="58" t="s">
        <v>122</v>
      </c>
      <c r="F67" s="65" t="s">
        <v>120</v>
      </c>
      <c r="G67" s="107">
        <v>8</v>
      </c>
      <c r="H67" s="62" t="s">
        <v>100</v>
      </c>
      <c r="I67" s="45" t="s">
        <v>474</v>
      </c>
      <c r="J67" s="55"/>
      <c r="K67" s="55"/>
      <c r="L67" s="43"/>
      <c r="M67" s="43"/>
      <c r="N67" s="56"/>
    </row>
    <row r="68" spans="1:15" ht="15.6">
      <c r="A68" s="340"/>
      <c r="B68" s="54"/>
      <c r="C68" s="43"/>
      <c r="D68" s="350"/>
      <c r="E68" s="58" t="s">
        <v>101</v>
      </c>
      <c r="F68" s="65" t="s">
        <v>120</v>
      </c>
      <c r="G68" s="107">
        <v>22</v>
      </c>
      <c r="H68" s="62" t="s">
        <v>102</v>
      </c>
      <c r="I68" s="45" t="s">
        <v>324</v>
      </c>
      <c r="J68" s="55"/>
      <c r="K68" s="55"/>
      <c r="L68" s="43"/>
      <c r="M68" s="43"/>
      <c r="N68" s="56"/>
    </row>
    <row r="69" spans="1:15" ht="18">
      <c r="A69" s="340"/>
      <c r="B69" s="54"/>
      <c r="C69" s="43"/>
      <c r="D69" s="350"/>
      <c r="E69" s="80" t="s">
        <v>179</v>
      </c>
      <c r="F69" s="65" t="s">
        <v>120</v>
      </c>
      <c r="G69" s="107">
        <v>0.18</v>
      </c>
      <c r="H69" s="62"/>
      <c r="I69" s="81" t="s">
        <v>212</v>
      </c>
      <c r="J69" s="55"/>
      <c r="K69" s="55"/>
      <c r="L69" s="43"/>
      <c r="M69" s="43"/>
      <c r="N69" s="56"/>
    </row>
    <row r="70" spans="1:15" ht="15.6">
      <c r="A70" s="340"/>
      <c r="B70" s="54"/>
      <c r="C70" s="43"/>
      <c r="D70" s="350"/>
      <c r="E70" s="58" t="s">
        <v>104</v>
      </c>
      <c r="F70" s="65" t="s">
        <v>120</v>
      </c>
      <c r="G70" s="107">
        <v>3</v>
      </c>
      <c r="H70" s="62" t="s">
        <v>105</v>
      </c>
      <c r="I70" s="45" t="s">
        <v>111</v>
      </c>
      <c r="J70" s="55"/>
      <c r="K70" s="55"/>
      <c r="L70" s="43"/>
      <c r="M70" s="43"/>
      <c r="N70" s="56"/>
    </row>
    <row r="71" spans="1:15" ht="15.6">
      <c r="A71" s="340"/>
      <c r="B71" s="54"/>
      <c r="C71" s="43"/>
      <c r="D71" s="350"/>
      <c r="E71" s="58" t="s">
        <v>107</v>
      </c>
      <c r="F71" s="65" t="s">
        <v>120</v>
      </c>
      <c r="G71" s="107">
        <v>1</v>
      </c>
      <c r="H71" s="62" t="s">
        <v>108</v>
      </c>
      <c r="I71" s="45" t="s">
        <v>112</v>
      </c>
      <c r="J71" s="55"/>
      <c r="K71" s="55"/>
      <c r="L71" s="43"/>
      <c r="M71" s="43"/>
      <c r="N71" s="56"/>
    </row>
    <row r="72" spans="1:15" ht="18">
      <c r="A72" s="340"/>
      <c r="B72" s="54"/>
      <c r="C72" s="89"/>
      <c r="D72" s="351"/>
      <c r="E72" s="111" t="s">
        <v>187</v>
      </c>
      <c r="F72" s="221">
        <f>Vinpp</f>
        <v>240</v>
      </c>
      <c r="G72" s="183">
        <f>Cin_Cout!E88</f>
        <v>212.80006536571125</v>
      </c>
      <c r="H72" s="109" t="s">
        <v>13</v>
      </c>
      <c r="I72" s="110" t="s">
        <v>186</v>
      </c>
      <c r="J72" s="55"/>
      <c r="K72" s="55"/>
      <c r="L72" s="43"/>
      <c r="M72" s="43"/>
      <c r="N72" s="203"/>
    </row>
    <row r="73" spans="1:15" ht="18">
      <c r="A73" s="340"/>
      <c r="B73" s="54"/>
      <c r="C73" s="89"/>
      <c r="D73" s="128" t="s">
        <v>210</v>
      </c>
      <c r="E73" s="111" t="s">
        <v>205</v>
      </c>
      <c r="F73" s="221">
        <v>100</v>
      </c>
      <c r="G73" s="107">
        <v>20</v>
      </c>
      <c r="H73" s="109" t="s">
        <v>135</v>
      </c>
      <c r="I73" s="110" t="s">
        <v>207</v>
      </c>
      <c r="J73" s="55"/>
      <c r="K73" s="55"/>
      <c r="L73" s="43"/>
      <c r="M73" s="43"/>
      <c r="N73" s="56"/>
    </row>
    <row r="74" spans="1:15" ht="18">
      <c r="A74" s="340"/>
      <c r="B74" s="54"/>
      <c r="C74" s="48"/>
      <c r="D74" s="349" t="s">
        <v>98</v>
      </c>
      <c r="E74" s="108" t="s">
        <v>178</v>
      </c>
      <c r="F74" s="183">
        <f>Cin_Cout!D123*1000000</f>
        <v>10.613527955560922</v>
      </c>
      <c r="G74" s="107">
        <v>22</v>
      </c>
      <c r="H74" s="52" t="s">
        <v>97</v>
      </c>
      <c r="I74" s="45" t="s">
        <v>480</v>
      </c>
      <c r="J74" s="55"/>
      <c r="K74" s="55"/>
      <c r="L74" s="43"/>
      <c r="M74" s="43"/>
      <c r="N74" s="56"/>
    </row>
    <row r="75" spans="1:15" ht="18">
      <c r="A75" s="340"/>
      <c r="B75" s="54"/>
      <c r="C75" s="48"/>
      <c r="D75" s="350"/>
      <c r="E75" s="90" t="s">
        <v>188</v>
      </c>
      <c r="F75" s="130">
        <f>Cin_Cout!D120</f>
        <v>48.533333333333339</v>
      </c>
      <c r="G75" s="107">
        <v>12</v>
      </c>
      <c r="H75" s="63" t="s">
        <v>95</v>
      </c>
      <c r="I75" s="45" t="s">
        <v>204</v>
      </c>
      <c r="J75" s="55"/>
      <c r="K75" s="55"/>
      <c r="L75" s="43"/>
      <c r="M75" s="43"/>
      <c r="N75" s="56"/>
    </row>
    <row r="76" spans="1:15" ht="18">
      <c r="A76" s="340"/>
      <c r="B76" s="54"/>
      <c r="C76" s="48"/>
      <c r="D76" s="350"/>
      <c r="E76" s="90" t="s">
        <v>181</v>
      </c>
      <c r="F76" s="222" t="s">
        <v>120</v>
      </c>
      <c r="G76" s="107">
        <v>1</v>
      </c>
      <c r="H76" s="63" t="s">
        <v>135</v>
      </c>
      <c r="I76" s="45" t="s">
        <v>109</v>
      </c>
      <c r="J76" s="55"/>
      <c r="K76" s="55"/>
      <c r="L76" s="43"/>
      <c r="M76" s="43"/>
      <c r="N76" s="56"/>
    </row>
    <row r="77" spans="1:15" ht="18">
      <c r="A77" s="340"/>
      <c r="B77" s="47"/>
      <c r="C77" s="89"/>
      <c r="D77" s="350"/>
      <c r="E77" s="111" t="s">
        <v>189</v>
      </c>
      <c r="F77" s="312">
        <f>G13</f>
        <v>360</v>
      </c>
      <c r="G77" s="183">
        <f>Cin_Cout!E115</f>
        <v>175.87992464622326</v>
      </c>
      <c r="H77" s="109" t="s">
        <v>483</v>
      </c>
      <c r="I77" s="110" t="s">
        <v>484</v>
      </c>
      <c r="J77" s="55"/>
      <c r="K77" s="55"/>
      <c r="L77" s="43"/>
      <c r="M77" s="43"/>
      <c r="N77" s="56"/>
    </row>
    <row r="78" spans="1:15" ht="18">
      <c r="A78" s="340"/>
      <c r="B78" s="54"/>
      <c r="C78" s="89"/>
      <c r="D78" s="351"/>
      <c r="E78" s="113" t="s">
        <v>192</v>
      </c>
      <c r="F78" s="222" t="s">
        <v>120</v>
      </c>
      <c r="G78" s="223">
        <f>ROUNDUP(G72/(2*SQRT(3))/G75,1)</f>
        <v>5.1999999999999993</v>
      </c>
      <c r="H78" s="114" t="s">
        <v>193</v>
      </c>
      <c r="I78" s="125" t="s">
        <v>200</v>
      </c>
      <c r="J78" s="77"/>
      <c r="K78" s="77"/>
      <c r="L78" s="43"/>
      <c r="M78" s="43"/>
      <c r="N78" s="56"/>
    </row>
    <row r="79" spans="1:15" ht="15.6">
      <c r="A79" s="340"/>
      <c r="B79" s="54"/>
      <c r="C79" s="55"/>
      <c r="D79" s="55"/>
      <c r="E79" s="55"/>
      <c r="F79" s="55"/>
      <c r="G79" s="124"/>
      <c r="H79" s="55"/>
      <c r="I79" s="55"/>
      <c r="J79" s="55"/>
      <c r="K79" s="55"/>
      <c r="L79" s="55"/>
      <c r="M79" s="55"/>
      <c r="N79" s="56"/>
    </row>
    <row r="80" spans="1:15" ht="18.75" customHeight="1">
      <c r="A80" s="340"/>
      <c r="B80" s="355" t="s">
        <v>136</v>
      </c>
      <c r="C80" s="356"/>
      <c r="D80" s="356"/>
      <c r="E80" s="356"/>
      <c r="F80" s="356"/>
      <c r="G80" s="356"/>
      <c r="H80" s="356"/>
      <c r="I80" s="356"/>
      <c r="J80" s="356"/>
      <c r="K80" s="356"/>
      <c r="L80" s="356"/>
      <c r="M80" s="356"/>
      <c r="N80" s="357"/>
      <c r="O80" s="180"/>
    </row>
    <row r="81" spans="1:22" ht="15.6">
      <c r="A81" s="340"/>
      <c r="B81" s="54"/>
      <c r="C81" s="43"/>
      <c r="D81" s="43"/>
      <c r="E81" s="46"/>
      <c r="F81" s="43"/>
      <c r="G81" s="43"/>
      <c r="H81" s="43"/>
      <c r="I81" s="55"/>
      <c r="J81" s="55"/>
      <c r="K81" s="55"/>
      <c r="L81" s="43"/>
      <c r="M81" s="43"/>
      <c r="N81" s="56"/>
      <c r="O81" s="180"/>
      <c r="T81" s="146"/>
      <c r="U81" s="146"/>
    </row>
    <row r="82" spans="1:22" ht="15.75" customHeight="1">
      <c r="A82" s="340"/>
      <c r="B82" s="54"/>
      <c r="C82" s="43"/>
      <c r="D82" s="43"/>
      <c r="E82" s="349" t="s">
        <v>287</v>
      </c>
      <c r="F82" s="385" t="s">
        <v>1</v>
      </c>
      <c r="G82" s="386"/>
      <c r="H82" s="349" t="s">
        <v>83</v>
      </c>
      <c r="I82" s="57"/>
      <c r="J82" s="55"/>
      <c r="K82" s="55"/>
      <c r="L82" s="43"/>
      <c r="M82" s="43"/>
      <c r="N82" s="56"/>
      <c r="T82" s="265"/>
      <c r="U82" s="146"/>
    </row>
    <row r="83" spans="1:22" ht="15.6">
      <c r="A83" s="340"/>
      <c r="B83" s="54"/>
      <c r="C83" s="43"/>
      <c r="D83" s="43"/>
      <c r="E83" s="351"/>
      <c r="F83" s="58" t="s">
        <v>89</v>
      </c>
      <c r="G83" s="58" t="s">
        <v>85</v>
      </c>
      <c r="H83" s="351"/>
      <c r="I83" s="57"/>
      <c r="J83" s="55"/>
      <c r="K83" s="55"/>
      <c r="L83" s="43"/>
      <c r="M83" s="43"/>
      <c r="N83" s="56"/>
      <c r="T83" s="265"/>
      <c r="U83" s="146"/>
    </row>
    <row r="84" spans="1:22" ht="15.75" customHeight="1">
      <c r="A84" s="340"/>
      <c r="B84" s="47"/>
      <c r="C84" s="48"/>
      <c r="D84" s="48"/>
      <c r="E84" s="29" t="s">
        <v>88</v>
      </c>
      <c r="F84" s="133">
        <f>Iomax/Np*0.25</f>
        <v>7.5</v>
      </c>
      <c r="G84" s="133">
        <f>Bode_Plot!K37</f>
        <v>10.114039387476108</v>
      </c>
      <c r="H84" s="52" t="s">
        <v>86</v>
      </c>
      <c r="I84" s="53" t="s">
        <v>87</v>
      </c>
      <c r="J84" s="50"/>
      <c r="K84" s="50"/>
      <c r="L84" s="48"/>
      <c r="M84" s="48"/>
      <c r="N84" s="51"/>
      <c r="T84" s="265"/>
      <c r="U84" s="146"/>
    </row>
    <row r="85" spans="1:22" ht="15.75" customHeight="1">
      <c r="A85" s="340"/>
      <c r="B85" s="54"/>
      <c r="C85" s="43"/>
      <c r="D85" s="43"/>
      <c r="E85" s="58" t="s">
        <v>90</v>
      </c>
      <c r="F85" s="133">
        <f>1000*(Vo*(1-Vo/Vi))/F84/Fsw</f>
        <v>0.28799999999999998</v>
      </c>
      <c r="G85" s="134">
        <v>0.22</v>
      </c>
      <c r="H85" s="60" t="s">
        <v>91</v>
      </c>
      <c r="I85" s="45" t="s">
        <v>92</v>
      </c>
      <c r="J85" s="55"/>
      <c r="K85" s="55"/>
      <c r="L85" s="43"/>
      <c r="M85" s="43"/>
      <c r="N85" s="56"/>
      <c r="O85" s="232"/>
      <c r="T85" s="265"/>
      <c r="U85" s="146"/>
    </row>
    <row r="86" spans="1:22" ht="15.6">
      <c r="A86" s="340"/>
      <c r="B86" s="54"/>
      <c r="C86" s="43"/>
      <c r="D86" s="43"/>
      <c r="E86" s="58" t="s">
        <v>93</v>
      </c>
      <c r="F86" s="59" t="s">
        <v>94</v>
      </c>
      <c r="G86" s="134">
        <v>0.3</v>
      </c>
      <c r="H86" s="60" t="s">
        <v>95</v>
      </c>
      <c r="I86" s="45" t="s">
        <v>96</v>
      </c>
      <c r="J86" s="55"/>
      <c r="K86" s="55"/>
      <c r="L86" s="43"/>
      <c r="M86" s="43"/>
      <c r="N86" s="56"/>
    </row>
    <row r="87" spans="1:22" ht="15.6">
      <c r="A87" s="340"/>
      <c r="B87" s="54"/>
      <c r="C87" s="43"/>
      <c r="D87" s="43"/>
      <c r="E87" s="43"/>
      <c r="F87" s="43"/>
      <c r="G87" s="43"/>
      <c r="H87" s="43"/>
      <c r="I87" s="43"/>
      <c r="J87" s="55"/>
      <c r="K87" s="55"/>
      <c r="L87" s="43"/>
      <c r="M87" s="43"/>
      <c r="N87" s="56"/>
    </row>
    <row r="88" spans="1:22" ht="18">
      <c r="A88" s="340"/>
      <c r="B88" s="47"/>
      <c r="C88" s="48"/>
      <c r="D88" s="48"/>
      <c r="E88" s="29" t="s">
        <v>116</v>
      </c>
      <c r="F88" s="130">
        <f>(F38+Delta_IL/2)*Np</f>
        <v>34.557019693738056</v>
      </c>
      <c r="G88" s="130">
        <f>(MIN(G38,60)+Delta_IL/2)*Np</f>
        <v>37.057019693738056</v>
      </c>
      <c r="H88" s="52" t="s">
        <v>8</v>
      </c>
      <c r="I88" s="53" t="s">
        <v>327</v>
      </c>
      <c r="J88" s="50"/>
      <c r="K88"/>
      <c r="L88" s="48"/>
      <c r="M88" s="48"/>
      <c r="N88" s="51"/>
    </row>
    <row r="89" spans="1:22" ht="15.6">
      <c r="A89" s="340"/>
      <c r="B89" s="54"/>
      <c r="C89" s="43"/>
      <c r="D89" s="43"/>
      <c r="E89" s="43"/>
      <c r="F89" s="61"/>
      <c r="G89" s="61"/>
      <c r="H89" s="43"/>
      <c r="I89" s="45"/>
      <c r="J89" s="55"/>
      <c r="K89" s="55"/>
      <c r="L89" s="43"/>
      <c r="M89" s="43"/>
      <c r="N89" s="56"/>
      <c r="U89" s="146"/>
    </row>
    <row r="90" spans="1:22" ht="18">
      <c r="A90" s="340"/>
      <c r="B90" s="54"/>
      <c r="C90" s="43"/>
      <c r="D90" s="43"/>
      <c r="E90" s="58" t="s">
        <v>113</v>
      </c>
      <c r="F90" s="183">
        <f>ROUNDUP(Cin_Cout!D70, 0)</f>
        <v>691</v>
      </c>
      <c r="G90" s="130">
        <f>G93+G98</f>
        <v>763.28</v>
      </c>
      <c r="H90" s="60" t="s">
        <v>97</v>
      </c>
      <c r="I90" s="45" t="s">
        <v>476</v>
      </c>
      <c r="J90" s="55"/>
      <c r="K90" s="55"/>
      <c r="L90" s="43"/>
      <c r="M90" s="43"/>
      <c r="N90" s="56"/>
      <c r="O90" s="235"/>
      <c r="V90" s="180"/>
    </row>
    <row r="91" spans="1:22" ht="15.6">
      <c r="A91" s="340"/>
      <c r="B91" s="54"/>
      <c r="C91" s="43"/>
      <c r="D91" s="43"/>
      <c r="E91" s="58" t="s">
        <v>114</v>
      </c>
      <c r="F91" s="133">
        <f>Cin_Cout!D40*1000</f>
        <v>0.39548985788537389</v>
      </c>
      <c r="G91" s="311">
        <f>IF(Nbulk=0,G102/G99,((G102/G99)*(G96/G94))/(G102/G99+G96/G94))</f>
        <v>0.24</v>
      </c>
      <c r="H91" s="60" t="s">
        <v>95</v>
      </c>
      <c r="I91" s="45" t="s">
        <v>477</v>
      </c>
      <c r="J91" s="55"/>
      <c r="K91" s="55"/>
      <c r="L91" s="43"/>
      <c r="M91" s="43"/>
      <c r="N91" s="56"/>
      <c r="O91" s="235"/>
    </row>
    <row r="92" spans="1:22" ht="15.6">
      <c r="A92" s="340"/>
      <c r="B92" s="54"/>
      <c r="C92" s="43"/>
      <c r="D92" s="43"/>
      <c r="E92" s="58" t="s">
        <v>115</v>
      </c>
      <c r="F92" s="133">
        <f>Cin_Cout!D39*1000000000</f>
        <v>7.335778592864288E-2</v>
      </c>
      <c r="G92" s="82">
        <f>IF(G94&gt;0,(G97/G94*G103/G99)/(G97/G94+G103/G99),(G103/G99))</f>
        <v>7.6923076923076927E-2</v>
      </c>
      <c r="H92" s="60" t="s">
        <v>135</v>
      </c>
      <c r="I92" s="45" t="s">
        <v>478</v>
      </c>
      <c r="J92" s="55"/>
      <c r="K92" s="55"/>
      <c r="L92" s="43"/>
      <c r="M92" s="43"/>
      <c r="N92" s="56"/>
    </row>
    <row r="93" spans="1:22" ht="18">
      <c r="A93" s="340"/>
      <c r="B93" s="54"/>
      <c r="C93" s="43"/>
      <c r="D93" s="349" t="s">
        <v>98</v>
      </c>
      <c r="E93" s="90" t="s">
        <v>178</v>
      </c>
      <c r="F93" s="224" t="s">
        <v>120</v>
      </c>
      <c r="G93" s="183">
        <f>G94*G95</f>
        <v>470</v>
      </c>
      <c r="H93" s="63" t="s">
        <v>176</v>
      </c>
      <c r="I93" s="45"/>
      <c r="J93" s="55"/>
      <c r="K93" s="55"/>
      <c r="L93" s="43"/>
      <c r="M93" s="43"/>
      <c r="N93" s="56"/>
    </row>
    <row r="94" spans="1:22" ht="15.6">
      <c r="A94" s="340"/>
      <c r="B94" s="54"/>
      <c r="C94" s="43"/>
      <c r="D94" s="350"/>
      <c r="E94" s="58" t="s">
        <v>99</v>
      </c>
      <c r="F94" s="224" t="s">
        <v>120</v>
      </c>
      <c r="G94" s="107">
        <v>1</v>
      </c>
      <c r="H94" s="62" t="s">
        <v>100</v>
      </c>
      <c r="I94" s="45" t="s">
        <v>216</v>
      </c>
      <c r="J94" s="55"/>
      <c r="K94" s="55"/>
      <c r="L94" s="43"/>
      <c r="M94" s="43"/>
      <c r="N94" s="56"/>
    </row>
    <row r="95" spans="1:22" ht="15.6">
      <c r="A95" s="340"/>
      <c r="B95" s="54"/>
      <c r="C95" s="43"/>
      <c r="D95" s="350"/>
      <c r="E95" s="58" t="s">
        <v>101</v>
      </c>
      <c r="F95" s="224" t="s">
        <v>120</v>
      </c>
      <c r="G95" s="107">
        <v>470</v>
      </c>
      <c r="H95" s="62" t="s">
        <v>102</v>
      </c>
      <c r="I95" s="45" t="s">
        <v>103</v>
      </c>
      <c r="J95" s="55"/>
      <c r="K95" s="55"/>
      <c r="L95" s="43"/>
      <c r="M95" s="43"/>
      <c r="N95" s="56"/>
    </row>
    <row r="96" spans="1:22" ht="15.6">
      <c r="A96" s="340"/>
      <c r="B96" s="54"/>
      <c r="C96" s="43"/>
      <c r="D96" s="350"/>
      <c r="E96" s="58" t="s">
        <v>104</v>
      </c>
      <c r="F96" s="224" t="s">
        <v>120</v>
      </c>
      <c r="G96" s="107">
        <v>6</v>
      </c>
      <c r="H96" s="62" t="s">
        <v>105</v>
      </c>
      <c r="I96" s="45" t="s">
        <v>106</v>
      </c>
      <c r="J96" s="55"/>
      <c r="K96" s="55"/>
      <c r="L96" s="43"/>
      <c r="M96" s="43"/>
      <c r="N96" s="56"/>
    </row>
    <row r="97" spans="1:24 1025:1025" ht="15.6">
      <c r="A97" s="340"/>
      <c r="B97" s="54"/>
      <c r="C97" s="43"/>
      <c r="D97" s="350"/>
      <c r="E97" s="58" t="s">
        <v>107</v>
      </c>
      <c r="F97" s="224" t="s">
        <v>120</v>
      </c>
      <c r="G97" s="107">
        <v>1</v>
      </c>
      <c r="H97" s="62" t="s">
        <v>108</v>
      </c>
      <c r="I97" s="45" t="s">
        <v>109</v>
      </c>
      <c r="J97" s="55"/>
      <c r="K97" s="55"/>
      <c r="L97" s="43"/>
      <c r="M97" s="43"/>
      <c r="N97" s="56"/>
    </row>
    <row r="98" spans="1:24 1025:1025" ht="18">
      <c r="A98" s="340"/>
      <c r="B98" s="54"/>
      <c r="C98" s="43"/>
      <c r="D98" s="349" t="s">
        <v>110</v>
      </c>
      <c r="E98" s="90" t="s">
        <v>177</v>
      </c>
      <c r="F98" s="224" t="s">
        <v>120</v>
      </c>
      <c r="G98" s="130">
        <f>G99*G100*G101</f>
        <v>293.28000000000003</v>
      </c>
      <c r="H98" s="63" t="s">
        <v>176</v>
      </c>
      <c r="I98" s="53" t="s">
        <v>174</v>
      </c>
      <c r="J98" s="55"/>
      <c r="K98" s="55"/>
      <c r="L98" s="43"/>
      <c r="M98" s="43"/>
      <c r="N98" s="56"/>
    </row>
    <row r="99" spans="1:24 1025:1025" ht="15.6">
      <c r="A99" s="340"/>
      <c r="B99" s="54"/>
      <c r="C99" s="43"/>
      <c r="D99" s="350"/>
      <c r="E99" s="58" t="s">
        <v>99</v>
      </c>
      <c r="F99" s="224" t="s">
        <v>120</v>
      </c>
      <c r="G99" s="107">
        <v>12</v>
      </c>
      <c r="H99" s="62" t="s">
        <v>100</v>
      </c>
      <c r="I99" s="45" t="s">
        <v>479</v>
      </c>
      <c r="J99" s="55"/>
      <c r="K99" s="55"/>
      <c r="L99" s="43"/>
      <c r="M99" s="43"/>
      <c r="N99" s="56"/>
    </row>
    <row r="100" spans="1:24 1025:1025" ht="15.6">
      <c r="A100" s="340"/>
      <c r="B100" s="54"/>
      <c r="C100" s="43"/>
      <c r="D100" s="350"/>
      <c r="E100" s="58" t="s">
        <v>101</v>
      </c>
      <c r="F100" s="224" t="s">
        <v>120</v>
      </c>
      <c r="G100" s="107">
        <v>47</v>
      </c>
      <c r="H100" s="62" t="s">
        <v>102</v>
      </c>
      <c r="I100" s="45" t="s">
        <v>175</v>
      </c>
      <c r="J100" s="55"/>
      <c r="K100" s="43"/>
      <c r="L100" s="43"/>
      <c r="M100" s="43"/>
      <c r="N100" s="56"/>
    </row>
    <row r="101" spans="1:24 1025:1025" ht="18">
      <c r="A101" s="340"/>
      <c r="B101" s="54"/>
      <c r="C101" s="43"/>
      <c r="D101" s="350"/>
      <c r="E101" s="80" t="s">
        <v>180</v>
      </c>
      <c r="F101" s="224" t="s">
        <v>120</v>
      </c>
      <c r="G101" s="107">
        <v>0.52</v>
      </c>
      <c r="H101" s="62"/>
      <c r="I101" s="81" t="s">
        <v>211</v>
      </c>
      <c r="J101" s="55"/>
      <c r="K101" s="55"/>
      <c r="L101" s="43"/>
      <c r="M101" s="43"/>
      <c r="N101" s="56"/>
    </row>
    <row r="102" spans="1:24 1025:1025" ht="15.6">
      <c r="A102" s="340"/>
      <c r="B102" s="54"/>
      <c r="C102" s="43"/>
      <c r="D102" s="350"/>
      <c r="E102" s="58" t="s">
        <v>104</v>
      </c>
      <c r="F102" s="224" t="s">
        <v>120</v>
      </c>
      <c r="G102" s="107">
        <v>3</v>
      </c>
      <c r="H102" s="62" t="s">
        <v>105</v>
      </c>
      <c r="I102" s="45" t="s">
        <v>111</v>
      </c>
      <c r="J102" s="55"/>
      <c r="K102" s="55"/>
      <c r="L102" s="43"/>
      <c r="M102" s="43"/>
      <c r="N102" s="56"/>
      <c r="W102" s="163"/>
      <c r="X102" s="163"/>
    </row>
    <row r="103" spans="1:24 1025:1025" ht="15.6">
      <c r="A103" s="340"/>
      <c r="B103" s="54"/>
      <c r="C103" s="43"/>
      <c r="D103" s="351"/>
      <c r="E103" s="58" t="s">
        <v>107</v>
      </c>
      <c r="F103" s="224" t="s">
        <v>120</v>
      </c>
      <c r="G103" s="107">
        <v>1</v>
      </c>
      <c r="H103" s="62" t="s">
        <v>108</v>
      </c>
      <c r="I103" s="45" t="s">
        <v>112</v>
      </c>
      <c r="J103" s="55"/>
      <c r="K103" s="55"/>
      <c r="L103" s="43"/>
      <c r="M103" s="43"/>
      <c r="N103" s="56"/>
      <c r="V103" s="239"/>
      <c r="W103" s="163"/>
      <c r="X103" s="163"/>
    </row>
    <row r="104" spans="1:24 1025:1025" ht="18">
      <c r="A104" s="340"/>
      <c r="B104" s="54"/>
      <c r="C104" s="43"/>
      <c r="D104" s="123"/>
      <c r="E104" s="111" t="s">
        <v>196</v>
      </c>
      <c r="F104" s="312">
        <f>Cin_Cout!D33</f>
        <v>12</v>
      </c>
      <c r="G104" s="130">
        <f>ROUNDUP(Cin_Cout!E37,1)</f>
        <v>8.6</v>
      </c>
      <c r="H104" s="109" t="s">
        <v>13</v>
      </c>
      <c r="I104" s="110" t="s">
        <v>198</v>
      </c>
      <c r="J104" s="55"/>
      <c r="K104" s="55"/>
      <c r="L104" s="43"/>
      <c r="M104" s="43"/>
      <c r="N104" s="56"/>
    </row>
    <row r="105" spans="1:24 1025:1025" ht="18.600000000000001">
      <c r="A105" s="340"/>
      <c r="B105" s="54"/>
      <c r="C105" s="43"/>
      <c r="D105" s="123"/>
      <c r="E105" s="111" t="s">
        <v>197</v>
      </c>
      <c r="F105" s="312">
        <f>Vo_Transient*Vo*10</f>
        <v>60</v>
      </c>
      <c r="G105" s="130">
        <f>Cin_Cout!E58</f>
        <v>51.413222052505276</v>
      </c>
      <c r="H105" s="109" t="s">
        <v>483</v>
      </c>
      <c r="I105" s="313" t="s">
        <v>481</v>
      </c>
      <c r="J105" s="55"/>
      <c r="K105" s="55"/>
      <c r="L105" s="43"/>
      <c r="M105" s="43"/>
      <c r="N105" s="56"/>
    </row>
    <row r="106" spans="1:24 1025:1025" ht="15.6">
      <c r="A106" s="340"/>
      <c r="B106" s="54"/>
      <c r="C106" s="64"/>
      <c r="D106" s="43"/>
      <c r="E106" s="43"/>
      <c r="F106" s="283"/>
      <c r="G106" s="283"/>
      <c r="H106" s="283"/>
      <c r="I106" s="43" t="s">
        <v>482</v>
      </c>
      <c r="J106" s="43"/>
      <c r="K106" s="43"/>
      <c r="L106" s="43"/>
      <c r="M106" s="43"/>
      <c r="N106" s="56"/>
    </row>
    <row r="107" spans="1:24 1025:1025" ht="17.399999999999999">
      <c r="A107" s="340"/>
      <c r="B107" s="355" t="s">
        <v>123</v>
      </c>
      <c r="C107" s="356"/>
      <c r="D107" s="356"/>
      <c r="E107" s="356"/>
      <c r="F107" s="356"/>
      <c r="G107" s="356"/>
      <c r="H107" s="356"/>
      <c r="I107" s="356"/>
      <c r="J107" s="356"/>
      <c r="K107" s="356"/>
      <c r="L107" s="356"/>
      <c r="M107" s="356"/>
      <c r="N107" s="357"/>
      <c r="AMK107"/>
    </row>
    <row r="108" spans="1:24 1025:1025" ht="15.6">
      <c r="A108" s="340"/>
      <c r="B108" s="66"/>
      <c r="C108" s="67"/>
      <c r="D108" s="67"/>
      <c r="E108" s="68"/>
      <c r="F108" s="43"/>
      <c r="G108" s="43"/>
      <c r="H108" s="43"/>
      <c r="I108" s="69"/>
      <c r="J108" s="69"/>
      <c r="K108" s="69"/>
      <c r="L108" s="67"/>
      <c r="M108" s="67"/>
      <c r="N108" s="70"/>
    </row>
    <row r="109" spans="1:24 1025:1025" ht="15.6">
      <c r="A109" s="340"/>
      <c r="B109" s="66"/>
      <c r="C109" s="71"/>
      <c r="D109" s="71"/>
      <c r="E109" s="382" t="s">
        <v>124</v>
      </c>
      <c r="F109" s="383"/>
      <c r="G109" s="383"/>
      <c r="H109" s="384"/>
      <c r="I109" s="43"/>
      <c r="J109" s="43"/>
      <c r="K109" s="43"/>
      <c r="L109" s="71"/>
      <c r="M109" s="71"/>
      <c r="N109" s="72"/>
    </row>
    <row r="110" spans="1:24 1025:1025" ht="15.75" customHeight="1">
      <c r="A110" s="340"/>
      <c r="B110" s="66"/>
      <c r="C110" s="71"/>
      <c r="D110" s="71"/>
      <c r="E110" s="347" t="s">
        <v>287</v>
      </c>
      <c r="F110" s="348" t="s">
        <v>1</v>
      </c>
      <c r="G110" s="348"/>
      <c r="H110" s="347" t="s">
        <v>2</v>
      </c>
      <c r="I110" s="43"/>
      <c r="J110" s="43"/>
      <c r="K110" s="43"/>
      <c r="L110" s="71"/>
      <c r="M110" s="71"/>
      <c r="N110" s="72"/>
    </row>
    <row r="111" spans="1:24 1025:1025" ht="15.75" customHeight="1">
      <c r="A111" s="340"/>
      <c r="B111" s="66"/>
      <c r="C111" s="71"/>
      <c r="D111" s="71"/>
      <c r="E111" s="347"/>
      <c r="F111" s="58" t="s">
        <v>125</v>
      </c>
      <c r="G111" s="58" t="s">
        <v>20</v>
      </c>
      <c r="H111" s="347"/>
      <c r="I111" s="43"/>
      <c r="J111" s="43"/>
      <c r="K111" s="43"/>
      <c r="L111" s="71"/>
      <c r="M111" s="71"/>
      <c r="N111" s="72"/>
      <c r="Q111" s="240"/>
    </row>
    <row r="112" spans="1:24 1025:1025" ht="19.95" customHeight="1">
      <c r="A112" s="340"/>
      <c r="B112" s="66"/>
      <c r="C112" s="71"/>
      <c r="D112" s="71"/>
      <c r="E112" s="58" t="s">
        <v>126</v>
      </c>
      <c r="F112" s="82">
        <f>F14</f>
        <v>1.2</v>
      </c>
      <c r="G112" s="315">
        <f>IF(G124="NA", F112*Vo_Scale,(G123/G124+1)*Vo*Vo_Scale)</f>
        <v>1.2</v>
      </c>
      <c r="H112" s="60" t="s">
        <v>4</v>
      </c>
      <c r="I112" s="43"/>
      <c r="J112" s="43"/>
      <c r="K112" s="43"/>
      <c r="L112" s="71"/>
      <c r="M112" s="71"/>
      <c r="N112" s="72"/>
    </row>
    <row r="113" spans="1:17" ht="15.6">
      <c r="A113" s="340"/>
      <c r="B113" s="66"/>
      <c r="C113" s="67"/>
      <c r="D113" s="67"/>
      <c r="E113" s="46"/>
      <c r="F113" s="43"/>
      <c r="G113" s="43"/>
      <c r="H113" s="43"/>
      <c r="I113" s="55"/>
      <c r="J113" s="69"/>
      <c r="K113" s="69"/>
      <c r="L113" s="67"/>
      <c r="M113" s="67"/>
      <c r="N113" s="70"/>
      <c r="Q113" s="240"/>
    </row>
    <row r="114" spans="1:17" ht="15.6">
      <c r="A114" s="340"/>
      <c r="B114" s="66"/>
      <c r="C114" s="67"/>
      <c r="D114" s="43"/>
      <c r="E114" s="387" t="s">
        <v>127</v>
      </c>
      <c r="F114" s="388"/>
      <c r="G114" s="388"/>
      <c r="H114" s="389"/>
      <c r="I114" s="57"/>
      <c r="J114" s="69"/>
      <c r="K114" s="69"/>
      <c r="L114" s="67"/>
      <c r="M114" s="67"/>
      <c r="N114" s="70"/>
    </row>
    <row r="115" spans="1:17" ht="15.6">
      <c r="A115" s="340"/>
      <c r="B115" s="66"/>
      <c r="C115" s="67"/>
      <c r="D115" s="73"/>
      <c r="E115" s="74" t="s">
        <v>287</v>
      </c>
      <c r="F115" s="58" t="s">
        <v>322</v>
      </c>
      <c r="G115" s="58" t="s">
        <v>20</v>
      </c>
      <c r="H115" s="75" t="s">
        <v>2</v>
      </c>
      <c r="I115" s="45"/>
      <c r="J115" s="69"/>
      <c r="K115" s="69"/>
      <c r="L115" s="67"/>
      <c r="M115" s="67"/>
      <c r="N115" s="70"/>
    </row>
    <row r="116" spans="1:17" ht="15.6">
      <c r="A116" s="340"/>
      <c r="B116" s="66"/>
      <c r="C116" s="67"/>
      <c r="D116" s="73"/>
      <c r="E116" s="74" t="s">
        <v>286</v>
      </c>
      <c r="F116" s="204">
        <f>Fsw/6</f>
        <v>83.333333333333329</v>
      </c>
      <c r="G116" s="201">
        <f>Bode_Plot!U25/1000</f>
        <v>83.176377110267339</v>
      </c>
      <c r="H116" s="62" t="s">
        <v>23</v>
      </c>
      <c r="I116" s="45"/>
      <c r="J116" s="69"/>
      <c r="K116" s="69"/>
      <c r="L116" s="67"/>
      <c r="M116" s="67"/>
      <c r="N116" s="70"/>
    </row>
    <row r="117" spans="1:17" ht="15.6">
      <c r="A117" s="340"/>
      <c r="B117" s="66"/>
      <c r="C117" s="67"/>
      <c r="D117" s="73"/>
      <c r="E117" s="74" t="s">
        <v>129</v>
      </c>
      <c r="F117" s="225">
        <v>65</v>
      </c>
      <c r="G117" s="201">
        <f>Bode_Plot!U26</f>
        <v>77.083448338136122</v>
      </c>
      <c r="H117" s="62" t="s">
        <v>130</v>
      </c>
      <c r="I117" s="45"/>
      <c r="J117" s="69"/>
      <c r="K117" s="69"/>
      <c r="L117" s="67"/>
      <c r="M117" s="67"/>
      <c r="N117" s="70"/>
    </row>
    <row r="118" spans="1:17" ht="15.6">
      <c r="A118" s="340"/>
      <c r="B118" s="66"/>
      <c r="C118" s="67"/>
      <c r="D118" s="43"/>
      <c r="E118" s="67"/>
      <c r="F118" s="200" t="str">
        <f>IF(EA_BW/Fc_t&lt;Bode_Plot!U7,"EA BW Limited, Please reduce Fcross.","   ")</f>
        <v xml:space="preserve">   </v>
      </c>
      <c r="G118" s="115"/>
      <c r="H118" s="67"/>
      <c r="I118" s="45"/>
      <c r="J118" s="69"/>
      <c r="K118" s="69"/>
      <c r="L118" s="67"/>
      <c r="M118" s="67"/>
      <c r="N118" s="70"/>
    </row>
    <row r="119" spans="1:17" ht="15.6">
      <c r="A119" s="340"/>
      <c r="B119" s="66"/>
      <c r="C119" s="67"/>
      <c r="D119" s="43"/>
      <c r="E119" s="67"/>
      <c r="F119" s="77"/>
      <c r="G119" s="77"/>
      <c r="H119" s="77"/>
      <c r="I119" s="57"/>
      <c r="J119" s="69"/>
      <c r="K119" s="69"/>
      <c r="L119" s="67"/>
      <c r="M119" s="67"/>
      <c r="N119" s="70"/>
    </row>
    <row r="120" spans="1:17" ht="15.6">
      <c r="A120" s="340"/>
      <c r="B120" s="66"/>
      <c r="C120" s="67"/>
      <c r="D120" s="43"/>
      <c r="E120" s="387" t="s">
        <v>131</v>
      </c>
      <c r="F120" s="388"/>
      <c r="G120" s="388"/>
      <c r="H120" s="389"/>
      <c r="I120" s="57"/>
      <c r="J120" s="69"/>
      <c r="K120" s="69"/>
      <c r="L120" s="67"/>
      <c r="M120" s="67"/>
      <c r="N120" s="70"/>
    </row>
    <row r="121" spans="1:17" ht="15.6">
      <c r="A121" s="340"/>
      <c r="B121" s="66"/>
      <c r="C121" s="67"/>
      <c r="D121" s="73"/>
      <c r="E121" s="392" t="s">
        <v>287</v>
      </c>
      <c r="F121" s="385" t="s">
        <v>52</v>
      </c>
      <c r="G121" s="386"/>
      <c r="H121" s="349" t="s">
        <v>2</v>
      </c>
      <c r="I121" s="57"/>
      <c r="J121" s="69"/>
      <c r="K121" s="69"/>
      <c r="L121" s="67"/>
      <c r="M121" s="67"/>
      <c r="N121" s="70"/>
    </row>
    <row r="122" spans="1:17" ht="15.6">
      <c r="A122" s="340"/>
      <c r="B122" s="66"/>
      <c r="C122" s="67"/>
      <c r="D122" s="73"/>
      <c r="E122" s="393"/>
      <c r="F122" s="58" t="s">
        <v>132</v>
      </c>
      <c r="G122" s="58" t="s">
        <v>133</v>
      </c>
      <c r="H122" s="351"/>
      <c r="I122" s="57"/>
      <c r="J122" s="69"/>
      <c r="K122" s="69"/>
      <c r="L122" s="67"/>
      <c r="M122" s="67"/>
      <c r="N122" s="70"/>
    </row>
    <row r="123" spans="1:17" ht="15.6">
      <c r="A123" s="340"/>
      <c r="B123" s="66"/>
      <c r="C123" s="67"/>
      <c r="D123" s="73"/>
      <c r="E123" s="78" t="s">
        <v>233</v>
      </c>
      <c r="F123" s="133">
        <f>Bode_Plot!K8</f>
        <v>10</v>
      </c>
      <c r="G123" s="137">
        <v>10</v>
      </c>
      <c r="H123" s="394" t="s">
        <v>24</v>
      </c>
      <c r="I123" s="57"/>
      <c r="J123" s="69"/>
      <c r="K123" s="69"/>
      <c r="L123" s="67"/>
      <c r="M123" s="67"/>
      <c r="N123" s="70"/>
    </row>
    <row r="124" spans="1:17" ht="18">
      <c r="A124" s="340"/>
      <c r="B124" s="66"/>
      <c r="C124" s="67"/>
      <c r="D124" s="73"/>
      <c r="E124" s="78" t="s">
        <v>288</v>
      </c>
      <c r="F124" s="133" t="str">
        <f>IF(F31=1,"open",F123*F31/(1-F31))</f>
        <v>open</v>
      </c>
      <c r="G124" s="205" t="s">
        <v>436</v>
      </c>
      <c r="H124" s="394"/>
      <c r="I124" s="329" t="str">
        <f>IF(AND(G124="NA",1/Vo_Scale&gt;1),"Enter RFB Value","  ")</f>
        <v xml:space="preserve">  </v>
      </c>
      <c r="J124" s="69"/>
      <c r="K124" s="69"/>
      <c r="L124" s="67"/>
      <c r="M124" s="67"/>
      <c r="N124" s="70"/>
    </row>
    <row r="125" spans="1:17" ht="15.6">
      <c r="A125" s="340"/>
      <c r="B125" s="66"/>
      <c r="C125" s="67"/>
      <c r="D125" s="73"/>
      <c r="E125" s="78" t="s">
        <v>234</v>
      </c>
      <c r="F125" s="133">
        <f>Bode_Plot!K9</f>
        <v>27.456138307019756</v>
      </c>
      <c r="G125" s="137">
        <v>22</v>
      </c>
      <c r="H125" s="394"/>
      <c r="I125" s="57"/>
      <c r="J125" s="69"/>
      <c r="K125" s="69"/>
      <c r="L125" s="67"/>
      <c r="M125" s="67"/>
      <c r="N125" s="70"/>
    </row>
    <row r="126" spans="1:17" ht="15.6">
      <c r="A126" s="340"/>
      <c r="B126" s="66"/>
      <c r="C126" s="67"/>
      <c r="D126" s="73"/>
      <c r="E126" s="78" t="s">
        <v>235</v>
      </c>
      <c r="F126" s="133">
        <f>(Bode_Plot!K10)/10</f>
        <v>0.17899260436869102</v>
      </c>
      <c r="G126" s="226">
        <v>0</v>
      </c>
      <c r="H126" s="394"/>
      <c r="I126"/>
      <c r="J126" s="69"/>
      <c r="K126" s="69"/>
      <c r="L126" s="67"/>
      <c r="M126" s="67"/>
      <c r="N126" s="70"/>
    </row>
    <row r="127" spans="1:17" ht="15.6">
      <c r="A127" s="340"/>
      <c r="B127" s="66"/>
      <c r="C127" s="67"/>
      <c r="D127" s="73"/>
      <c r="E127" s="78" t="s">
        <v>237</v>
      </c>
      <c r="F127" s="183">
        <f>Bode_Plot!K13</f>
        <v>415.74620509765629</v>
      </c>
      <c r="G127" s="178">
        <v>390</v>
      </c>
      <c r="H127" s="390" t="s">
        <v>134</v>
      </c>
      <c r="I127" s="57"/>
      <c r="J127" s="69"/>
      <c r="K127" s="69"/>
      <c r="L127" s="67"/>
      <c r="M127" s="67"/>
      <c r="N127" s="70"/>
    </row>
    <row r="128" spans="1:17" ht="15.6">
      <c r="A128" s="340"/>
      <c r="B128" s="66"/>
      <c r="C128" s="67"/>
      <c r="D128" s="73"/>
      <c r="E128" s="78" t="s">
        <v>236</v>
      </c>
      <c r="F128" s="183">
        <f>Bode_Plot!K12</f>
        <v>178.52536129567986</v>
      </c>
      <c r="G128" s="179">
        <v>100</v>
      </c>
      <c r="H128" s="390"/>
      <c r="I128" s="57"/>
      <c r="J128" s="69"/>
      <c r="K128" s="69"/>
      <c r="L128" s="67"/>
      <c r="M128" s="67"/>
      <c r="N128" s="70"/>
    </row>
    <row r="129" spans="1:14" ht="15.6">
      <c r="A129" s="340"/>
      <c r="B129" s="66"/>
      <c r="C129" s="67"/>
      <c r="D129" s="73"/>
      <c r="E129" s="78" t="s">
        <v>238</v>
      </c>
      <c r="F129" s="183">
        <f>Bode_Plot!K11</f>
        <v>31.954719364175247</v>
      </c>
      <c r="G129" s="178">
        <v>10</v>
      </c>
      <c r="H129" s="391"/>
      <c r="I129" s="57"/>
      <c r="J129" s="69"/>
      <c r="K129" s="69"/>
      <c r="L129" s="67"/>
      <c r="M129" s="67"/>
      <c r="N129" s="70"/>
    </row>
    <row r="130" spans="1:14" ht="15.6">
      <c r="A130" s="340"/>
      <c r="B130" s="66"/>
      <c r="C130" s="67"/>
      <c r="D130" s="43"/>
      <c r="E130" s="76"/>
      <c r="F130" s="77"/>
      <c r="G130" s="77"/>
      <c r="H130" s="77"/>
      <c r="I130" s="79"/>
      <c r="J130" s="69"/>
      <c r="K130" s="69"/>
      <c r="L130" s="67"/>
      <c r="M130" s="67"/>
      <c r="N130" s="70"/>
    </row>
    <row r="131" spans="1:14" ht="15.6">
      <c r="A131" s="340"/>
      <c r="B131" s="66"/>
      <c r="C131" s="67"/>
      <c r="D131" s="67"/>
      <c r="E131" s="67"/>
      <c r="F131" s="43"/>
      <c r="G131" s="43"/>
      <c r="H131" s="67"/>
      <c r="I131" s="67"/>
      <c r="J131" s="69"/>
      <c r="K131" s="69"/>
      <c r="L131" s="67"/>
      <c r="M131" s="67"/>
      <c r="N131" s="70"/>
    </row>
    <row r="132" spans="1:14" ht="15.6">
      <c r="A132" s="340"/>
      <c r="B132" s="66"/>
      <c r="C132" s="67"/>
      <c r="D132" s="43"/>
      <c r="E132" s="43"/>
      <c r="F132" s="43"/>
      <c r="G132" s="43"/>
      <c r="H132" s="43"/>
      <c r="I132" s="43"/>
      <c r="J132" s="69"/>
      <c r="K132" s="69"/>
      <c r="L132" s="67"/>
      <c r="M132" s="67"/>
      <c r="N132" s="70"/>
    </row>
    <row r="133" spans="1:14" ht="15.6">
      <c r="A133" s="340"/>
      <c r="B133" s="66"/>
      <c r="C133" s="67"/>
      <c r="D133" s="43"/>
      <c r="E133" s="73"/>
      <c r="F133" s="43"/>
      <c r="G133" s="43"/>
      <c r="H133" s="43"/>
      <c r="I133" s="43"/>
      <c r="J133" s="69"/>
      <c r="K133" s="69"/>
      <c r="L133" s="67"/>
      <c r="M133" s="67"/>
      <c r="N133" s="70"/>
    </row>
    <row r="134" spans="1:14" ht="15.6">
      <c r="A134" s="340"/>
      <c r="B134" s="66"/>
      <c r="C134" s="67"/>
      <c r="D134" s="43"/>
      <c r="E134" s="73"/>
      <c r="F134" s="43"/>
      <c r="G134" s="43"/>
      <c r="H134" s="43"/>
      <c r="I134" s="43"/>
      <c r="J134" s="69"/>
      <c r="K134" s="69"/>
      <c r="L134" s="67"/>
      <c r="M134" s="67"/>
      <c r="N134" s="70"/>
    </row>
    <row r="135" spans="1:14" ht="15.6">
      <c r="A135" s="340"/>
      <c r="B135" s="66"/>
      <c r="C135" s="67"/>
      <c r="D135" s="43"/>
      <c r="E135" s="73"/>
      <c r="F135" s="43"/>
      <c r="G135" s="43"/>
      <c r="H135" s="43"/>
      <c r="I135" s="43"/>
      <c r="J135" s="69"/>
      <c r="K135" s="69"/>
      <c r="L135" s="67"/>
      <c r="M135" s="67"/>
      <c r="N135" s="70"/>
    </row>
    <row r="136" spans="1:14" ht="15.6">
      <c r="A136" s="340"/>
      <c r="B136" s="66"/>
      <c r="C136" s="67"/>
      <c r="D136" s="43"/>
      <c r="E136" s="73"/>
      <c r="F136" s="43"/>
      <c r="G136" s="43"/>
      <c r="H136" s="43"/>
      <c r="I136" s="43"/>
      <c r="J136" s="69"/>
      <c r="K136" s="69"/>
      <c r="L136" s="67"/>
      <c r="M136" s="67"/>
      <c r="N136" s="70"/>
    </row>
    <row r="137" spans="1:14" ht="15.6">
      <c r="A137" s="340"/>
      <c r="B137" s="66"/>
      <c r="C137" s="67"/>
      <c r="D137" s="43"/>
      <c r="E137" s="73"/>
      <c r="F137" s="43"/>
      <c r="G137" s="43"/>
      <c r="H137" s="43"/>
      <c r="I137" s="43"/>
      <c r="J137" s="69"/>
      <c r="K137" s="69"/>
      <c r="L137" s="67"/>
      <c r="M137" s="67"/>
      <c r="N137" s="70"/>
    </row>
    <row r="138" spans="1:14" ht="15.6">
      <c r="A138" s="340"/>
      <c r="B138" s="66"/>
      <c r="C138" s="67"/>
      <c r="D138" s="43"/>
      <c r="E138" s="73"/>
      <c r="F138" s="43"/>
      <c r="G138" s="43"/>
      <c r="H138" s="43"/>
      <c r="I138" s="43"/>
      <c r="J138" s="69"/>
      <c r="K138" s="69"/>
      <c r="L138" s="67"/>
      <c r="M138" s="67"/>
      <c r="N138" s="70"/>
    </row>
    <row r="139" spans="1:14" ht="15.6">
      <c r="A139" s="340"/>
      <c r="B139" s="66"/>
      <c r="C139" s="67"/>
      <c r="D139" s="43"/>
      <c r="E139" s="73"/>
      <c r="F139" s="43"/>
      <c r="G139" s="43"/>
      <c r="H139" s="43"/>
      <c r="I139" s="43"/>
      <c r="J139" s="69"/>
      <c r="K139" s="69"/>
      <c r="L139" s="67"/>
      <c r="M139" s="67"/>
      <c r="N139" s="70"/>
    </row>
    <row r="140" spans="1:14" ht="15.6">
      <c r="A140" s="340"/>
      <c r="B140" s="66"/>
      <c r="C140" s="67"/>
      <c r="D140" s="43"/>
      <c r="E140" s="73"/>
      <c r="F140" s="43"/>
      <c r="G140" s="43"/>
      <c r="H140" s="43"/>
      <c r="I140" s="43"/>
      <c r="J140" s="69"/>
      <c r="K140" s="69"/>
      <c r="L140" s="67"/>
      <c r="M140" s="67"/>
      <c r="N140" s="70"/>
    </row>
    <row r="141" spans="1:14" ht="15.6">
      <c r="A141" s="340"/>
      <c r="B141" s="66"/>
      <c r="C141" s="67"/>
      <c r="D141" s="43"/>
      <c r="E141" s="73"/>
      <c r="F141" s="43"/>
      <c r="G141" s="43"/>
      <c r="H141" s="43"/>
      <c r="I141" s="43"/>
      <c r="J141" s="69"/>
      <c r="K141" s="69"/>
      <c r="L141" s="67"/>
      <c r="M141" s="67"/>
      <c r="N141" s="70"/>
    </row>
    <row r="142" spans="1:14" ht="15.6">
      <c r="A142" s="340"/>
      <c r="B142" s="66"/>
      <c r="C142" s="67"/>
      <c r="D142" s="43"/>
      <c r="E142" s="73"/>
      <c r="F142" s="43"/>
      <c r="G142" s="43"/>
      <c r="H142" s="43"/>
      <c r="I142" s="43"/>
      <c r="J142" s="69"/>
      <c r="K142" s="69"/>
      <c r="L142" s="67"/>
      <c r="M142" s="67"/>
      <c r="N142" s="70"/>
    </row>
    <row r="143" spans="1:14" ht="15.6">
      <c r="A143" s="340"/>
      <c r="B143" s="66"/>
      <c r="C143" s="67"/>
      <c r="D143" s="43"/>
      <c r="E143" s="73"/>
      <c r="F143" s="43"/>
      <c r="G143" s="43"/>
      <c r="H143" s="43"/>
      <c r="I143" s="43"/>
      <c r="J143" s="69"/>
      <c r="K143" s="69"/>
      <c r="L143" s="67"/>
      <c r="M143" s="67"/>
      <c r="N143" s="70"/>
    </row>
    <row r="144" spans="1:14" ht="15.6">
      <c r="A144" s="340"/>
      <c r="B144" s="66"/>
      <c r="C144" s="67"/>
      <c r="D144" s="43"/>
      <c r="E144" s="73"/>
      <c r="F144" s="43"/>
      <c r="G144" s="43"/>
      <c r="H144" s="43"/>
      <c r="I144" s="43"/>
      <c r="J144" s="69"/>
      <c r="K144" s="69"/>
      <c r="L144" s="67"/>
      <c r="M144" s="67"/>
      <c r="N144" s="70"/>
    </row>
    <row r="145" spans="1:14" ht="15.6">
      <c r="A145" s="340"/>
      <c r="B145" s="66"/>
      <c r="C145" s="67"/>
      <c r="D145" s="43"/>
      <c r="E145" s="73"/>
      <c r="F145" s="43"/>
      <c r="G145" s="43"/>
      <c r="H145" s="43"/>
      <c r="I145" s="43"/>
      <c r="J145" s="69"/>
      <c r="K145" s="69"/>
      <c r="L145" s="67"/>
      <c r="M145" s="67"/>
      <c r="N145" s="70"/>
    </row>
    <row r="146" spans="1:14" ht="15.6">
      <c r="A146" s="340"/>
      <c r="B146" s="66"/>
      <c r="C146" s="67"/>
      <c r="D146" s="43"/>
      <c r="E146" s="73"/>
      <c r="F146" s="43"/>
      <c r="G146" s="43"/>
      <c r="H146" s="43"/>
      <c r="I146" s="43"/>
      <c r="J146" s="69"/>
      <c r="K146" s="69"/>
      <c r="L146" s="67"/>
      <c r="M146" s="67"/>
      <c r="N146" s="70"/>
    </row>
    <row r="147" spans="1:14" ht="15.6">
      <c r="A147" s="340"/>
      <c r="B147" s="66"/>
      <c r="C147" s="67"/>
      <c r="D147" s="43"/>
      <c r="E147" s="73"/>
      <c r="F147" s="43"/>
      <c r="G147" s="43"/>
      <c r="H147" s="43"/>
      <c r="I147" s="43"/>
      <c r="J147" s="69"/>
      <c r="K147" s="69"/>
      <c r="L147" s="67"/>
      <c r="M147" s="67"/>
      <c r="N147" s="70"/>
    </row>
    <row r="148" spans="1:14" ht="15.6">
      <c r="A148" s="340"/>
      <c r="B148" s="66"/>
      <c r="C148" s="67"/>
      <c r="D148" s="43"/>
      <c r="E148" s="73"/>
      <c r="F148" s="43"/>
      <c r="G148" s="43"/>
      <c r="H148" s="43"/>
      <c r="I148" s="43"/>
      <c r="J148" s="69"/>
      <c r="K148" s="69"/>
      <c r="L148" s="67"/>
      <c r="M148" s="67"/>
      <c r="N148" s="70"/>
    </row>
    <row r="149" spans="1:14" ht="15.6">
      <c r="A149" s="340"/>
      <c r="B149" s="66"/>
      <c r="C149" s="67"/>
      <c r="D149" s="43"/>
      <c r="E149" s="73"/>
      <c r="F149" s="43"/>
      <c r="G149" s="43"/>
      <c r="H149" s="43"/>
      <c r="I149" s="43"/>
      <c r="J149" s="69"/>
      <c r="K149" s="69"/>
      <c r="L149" s="67"/>
      <c r="M149" s="67"/>
      <c r="N149" s="70"/>
    </row>
    <row r="150" spans="1:14" ht="15.6">
      <c r="A150" s="340"/>
      <c r="B150" s="66"/>
      <c r="C150" s="67"/>
      <c r="D150" s="67"/>
      <c r="E150" s="68"/>
      <c r="F150" s="43"/>
      <c r="G150" s="43"/>
      <c r="H150" s="43"/>
      <c r="I150" s="69"/>
      <c r="J150" s="69"/>
      <c r="K150" s="69"/>
      <c r="L150" s="67"/>
      <c r="M150" s="67"/>
      <c r="N150" s="70"/>
    </row>
    <row r="151" spans="1:14" ht="15.6">
      <c r="A151" s="340"/>
      <c r="B151" s="66"/>
      <c r="C151" s="67"/>
      <c r="D151" s="67"/>
      <c r="E151" s="68"/>
      <c r="F151" s="43"/>
      <c r="G151" s="43"/>
      <c r="H151" s="43"/>
      <c r="I151" s="69"/>
      <c r="J151" s="69"/>
      <c r="K151" s="69"/>
      <c r="L151" s="67"/>
      <c r="M151" s="67"/>
      <c r="N151" s="70"/>
    </row>
    <row r="152" spans="1:14" ht="15.6">
      <c r="A152" s="340"/>
      <c r="B152" s="66"/>
      <c r="C152" s="67"/>
      <c r="D152" s="67"/>
      <c r="E152" s="68"/>
      <c r="F152" s="43"/>
      <c r="G152" s="43"/>
      <c r="H152" s="43"/>
      <c r="I152" s="69"/>
      <c r="J152" s="69"/>
      <c r="K152" s="69"/>
      <c r="L152" s="67"/>
      <c r="M152" s="67"/>
      <c r="N152" s="70"/>
    </row>
    <row r="153" spans="1:14" ht="15.6">
      <c r="A153" s="340"/>
      <c r="B153" s="66"/>
      <c r="C153" s="67"/>
      <c r="D153" s="67"/>
      <c r="E153" s="68"/>
      <c r="F153" s="43"/>
      <c r="G153" s="43"/>
      <c r="H153" s="43"/>
      <c r="I153" s="69"/>
      <c r="J153" s="69"/>
      <c r="K153" s="69"/>
      <c r="L153" s="67"/>
      <c r="M153" s="67"/>
      <c r="N153" s="70"/>
    </row>
    <row r="154" spans="1:14" ht="15.6">
      <c r="A154" s="340"/>
      <c r="B154" s="66"/>
      <c r="C154" s="67"/>
      <c r="D154" s="67"/>
      <c r="E154" s="68"/>
      <c r="F154" s="43"/>
      <c r="G154" s="43"/>
      <c r="H154" s="43"/>
      <c r="I154" s="69"/>
      <c r="J154" s="69"/>
      <c r="K154" s="69"/>
      <c r="L154" s="67"/>
      <c r="M154" s="67"/>
      <c r="N154" s="70"/>
    </row>
    <row r="155" spans="1:14" ht="15.6">
      <c r="A155" s="340"/>
      <c r="B155" s="66"/>
      <c r="C155" s="67"/>
      <c r="D155" s="67"/>
      <c r="E155" s="68"/>
      <c r="F155" s="43"/>
      <c r="G155" s="43"/>
      <c r="H155" s="43"/>
      <c r="I155" s="69"/>
      <c r="J155" s="69"/>
      <c r="K155" s="69"/>
      <c r="L155" s="67"/>
      <c r="M155" s="67"/>
      <c r="N155" s="70"/>
    </row>
    <row r="156" spans="1:14" ht="15.6">
      <c r="A156" s="340"/>
      <c r="B156" s="66"/>
      <c r="C156" s="67"/>
      <c r="D156" s="67"/>
      <c r="E156" s="68"/>
      <c r="F156" s="43"/>
      <c r="G156" s="43"/>
      <c r="H156" s="43"/>
      <c r="I156" s="69"/>
      <c r="J156" s="69"/>
      <c r="K156" s="69"/>
      <c r="L156" s="67"/>
      <c r="M156" s="67"/>
      <c r="N156" s="70"/>
    </row>
    <row r="157" spans="1:14" ht="15.6">
      <c r="A157" s="340"/>
      <c r="B157" s="66"/>
      <c r="C157" s="67"/>
      <c r="D157" s="67"/>
      <c r="E157" s="68"/>
      <c r="F157" s="43"/>
      <c r="G157" s="43"/>
      <c r="H157" s="43"/>
      <c r="I157" s="69"/>
      <c r="J157" s="69"/>
      <c r="K157" s="69"/>
      <c r="L157" s="67"/>
      <c r="M157" s="67"/>
      <c r="N157" s="70"/>
    </row>
    <row r="158" spans="1:14" ht="15.6">
      <c r="A158" s="340"/>
      <c r="B158" s="66"/>
      <c r="C158" s="67"/>
      <c r="D158" s="67"/>
      <c r="E158" s="68"/>
      <c r="F158" s="43"/>
      <c r="G158" s="43"/>
      <c r="H158" s="43"/>
      <c r="I158" s="69"/>
      <c r="J158" s="69"/>
      <c r="K158" s="69"/>
      <c r="L158" s="67"/>
      <c r="M158" s="67"/>
      <c r="N158" s="70"/>
    </row>
    <row r="159" spans="1:14" ht="16.2" thickBot="1">
      <c r="A159" s="340"/>
      <c r="B159" s="66"/>
      <c r="C159" s="67"/>
      <c r="D159" s="67"/>
      <c r="E159" s="68"/>
      <c r="F159" s="43"/>
      <c r="G159" s="43"/>
      <c r="H159" s="43"/>
      <c r="I159" s="69"/>
      <c r="J159" s="69"/>
      <c r="K159" s="69"/>
      <c r="L159" s="67"/>
      <c r="M159" s="67"/>
      <c r="N159" s="70"/>
    </row>
    <row r="160" spans="1:14" ht="15.6">
      <c r="A160" s="340"/>
      <c r="B160" s="206" t="s">
        <v>485</v>
      </c>
      <c r="C160" s="207"/>
      <c r="D160" s="207"/>
      <c r="E160" s="207"/>
      <c r="F160" s="207"/>
      <c r="G160" s="207"/>
      <c r="H160" s="207"/>
      <c r="I160" s="207"/>
      <c r="J160" s="207"/>
      <c r="K160" s="207"/>
      <c r="L160" s="207"/>
      <c r="M160" s="207"/>
      <c r="N160" s="208"/>
    </row>
    <row r="161" spans="1:14" ht="15.75" customHeight="1">
      <c r="A161" s="340"/>
      <c r="B161" s="379" t="s">
        <v>486</v>
      </c>
      <c r="C161" s="380"/>
      <c r="D161" s="380"/>
      <c r="E161" s="380"/>
      <c r="F161" s="380"/>
      <c r="G161" s="380"/>
      <c r="H161" s="380"/>
      <c r="I161" s="380"/>
      <c r="J161" s="380"/>
      <c r="K161" s="380"/>
      <c r="L161" s="380"/>
      <c r="M161" s="380"/>
      <c r="N161" s="381"/>
    </row>
    <row r="162" spans="1:14" ht="15.6">
      <c r="A162" s="340"/>
      <c r="B162" s="209" t="s">
        <v>487</v>
      </c>
      <c r="C162" s="210"/>
      <c r="D162" s="210"/>
      <c r="E162" s="210"/>
      <c r="F162" s="210"/>
      <c r="G162" s="210"/>
      <c r="H162" s="210"/>
      <c r="I162" s="210"/>
      <c r="J162" s="210"/>
      <c r="K162" s="210"/>
      <c r="L162" s="210"/>
      <c r="M162" s="210"/>
      <c r="N162" s="211"/>
    </row>
    <row r="163" spans="1:14" ht="16.2" thickBot="1">
      <c r="A163" s="340"/>
      <c r="B163" s="314" t="s">
        <v>488</v>
      </c>
      <c r="C163" s="212"/>
      <c r="D163" s="212"/>
      <c r="E163" s="212"/>
      <c r="F163" s="212"/>
      <c r="G163" s="212"/>
      <c r="H163" s="212"/>
      <c r="I163" s="212"/>
      <c r="J163" s="212"/>
      <c r="K163" s="212"/>
      <c r="L163" s="212"/>
      <c r="M163" s="212"/>
      <c r="N163" s="213"/>
    </row>
    <row r="166" spans="1:14" ht="15.6" customHeight="1"/>
  </sheetData>
  <sheetProtection algorithmName="SHA-512" hashValue="DRJhCddsAByOQKTQV6fETaLPnR3jgHTBO/eYtQEmra/c1f065ciouAyJ+VaXKxYw7woqIzOK6IZy6UgHhaDFDA==" saltValue="zcTQ7RGhrscgNMqcqvIZUA==" spinCount="100000" sheet="1" objects="1" scenarios="1"/>
  <mergeCells count="113">
    <mergeCell ref="H62:H63"/>
    <mergeCell ref="F62:G62"/>
    <mergeCell ref="B161:N161"/>
    <mergeCell ref="D64:D72"/>
    <mergeCell ref="B80:N80"/>
    <mergeCell ref="B107:N107"/>
    <mergeCell ref="E109:H109"/>
    <mergeCell ref="E82:E83"/>
    <mergeCell ref="F82:G82"/>
    <mergeCell ref="H82:H83"/>
    <mergeCell ref="E120:H120"/>
    <mergeCell ref="E114:H114"/>
    <mergeCell ref="H127:H129"/>
    <mergeCell ref="E121:E122"/>
    <mergeCell ref="F121:G121"/>
    <mergeCell ref="H121:H122"/>
    <mergeCell ref="H123:H126"/>
    <mergeCell ref="D74:D78"/>
    <mergeCell ref="F18:G18"/>
    <mergeCell ref="B60:N60"/>
    <mergeCell ref="H55:H57"/>
    <mergeCell ref="F45:H45"/>
    <mergeCell ref="E47:E48"/>
    <mergeCell ref="F47:G47"/>
    <mergeCell ref="H47:H48"/>
    <mergeCell ref="E62:E63"/>
    <mergeCell ref="H52:H53"/>
    <mergeCell ref="F32:G32"/>
    <mergeCell ref="F39:G39"/>
    <mergeCell ref="F41:G41"/>
    <mergeCell ref="B43:N43"/>
    <mergeCell ref="E25:E26"/>
    <mergeCell ref="F25:G25"/>
    <mergeCell ref="H25:H26"/>
    <mergeCell ref="F28:G28"/>
    <mergeCell ref="F29:G29"/>
    <mergeCell ref="F36:G36"/>
    <mergeCell ref="E42:N42"/>
    <mergeCell ref="I25:N26"/>
    <mergeCell ref="I27:N27"/>
    <mergeCell ref="K45:N51"/>
    <mergeCell ref="E34:N34"/>
    <mergeCell ref="F12:G12"/>
    <mergeCell ref="F21:G21"/>
    <mergeCell ref="B23:N23"/>
    <mergeCell ref="H49:H51"/>
    <mergeCell ref="E40:N40"/>
    <mergeCell ref="F14:G14"/>
    <mergeCell ref="B1:N2"/>
    <mergeCell ref="B3:N3"/>
    <mergeCell ref="B8:N8"/>
    <mergeCell ref="F10:G10"/>
    <mergeCell ref="F11:G11"/>
    <mergeCell ref="B10:D20"/>
    <mergeCell ref="B4:N4"/>
    <mergeCell ref="B7:N7"/>
    <mergeCell ref="B5:B6"/>
    <mergeCell ref="F5:N5"/>
    <mergeCell ref="I6:N6"/>
    <mergeCell ref="G6:H6"/>
    <mergeCell ref="D6:E6"/>
    <mergeCell ref="D5:E5"/>
    <mergeCell ref="F15:G15"/>
    <mergeCell ref="F16:G16"/>
    <mergeCell ref="F17:G17"/>
    <mergeCell ref="F20:G20"/>
    <mergeCell ref="I17:N17"/>
    <mergeCell ref="I41:N41"/>
    <mergeCell ref="A1:A163"/>
    <mergeCell ref="I28:N28"/>
    <mergeCell ref="I29:N29"/>
    <mergeCell ref="I11:N11"/>
    <mergeCell ref="I12:N12"/>
    <mergeCell ref="I13:N13"/>
    <mergeCell ref="I14:N14"/>
    <mergeCell ref="I15:N15"/>
    <mergeCell ref="I16:N16"/>
    <mergeCell ref="I18:N18"/>
    <mergeCell ref="I19:N19"/>
    <mergeCell ref="I20:N20"/>
    <mergeCell ref="B9:N9"/>
    <mergeCell ref="B22:N22"/>
    <mergeCell ref="E110:E111"/>
    <mergeCell ref="F110:G110"/>
    <mergeCell ref="H110:H111"/>
    <mergeCell ref="D98:D103"/>
    <mergeCell ref="D93:D97"/>
    <mergeCell ref="B24:D42"/>
    <mergeCell ref="E24:N24"/>
    <mergeCell ref="E30:N30"/>
    <mergeCell ref="I31:N31"/>
    <mergeCell ref="I32:N32"/>
    <mergeCell ref="I33:N33"/>
    <mergeCell ref="I35:N35"/>
    <mergeCell ref="I36:N36"/>
    <mergeCell ref="I46:J48"/>
    <mergeCell ref="E44:N44"/>
    <mergeCell ref="E37:N37"/>
    <mergeCell ref="B44:D59"/>
    <mergeCell ref="K52:N58"/>
    <mergeCell ref="E59:N59"/>
    <mergeCell ref="I45:J45"/>
    <mergeCell ref="I49:J49"/>
    <mergeCell ref="I50:J50"/>
    <mergeCell ref="I51:J51"/>
    <mergeCell ref="I52:J54"/>
    <mergeCell ref="I55:J55"/>
    <mergeCell ref="I56:J56"/>
    <mergeCell ref="I57:J57"/>
    <mergeCell ref="I58:J58"/>
    <mergeCell ref="I38:K38"/>
    <mergeCell ref="I39:K39"/>
    <mergeCell ref="L38:M39"/>
  </mergeCells>
  <phoneticPr fontId="18" type="noConversion"/>
  <conditionalFormatting sqref="F55">
    <cfRule type="expression" dxfId="15" priority="28">
      <formula>$F$58&lt;0</formula>
    </cfRule>
  </conditionalFormatting>
  <conditionalFormatting sqref="F116">
    <cfRule type="expression" dxfId="14" priority="9">
      <formula>Fc&gt;Fsw*0.4</formula>
    </cfRule>
  </conditionalFormatting>
  <conditionalFormatting sqref="F15:G15">
    <cfRule type="cellIs" dxfId="13" priority="21" operator="greaterThan">
      <formula>160</formula>
    </cfRule>
  </conditionalFormatting>
  <conditionalFormatting sqref="F16:G16">
    <cfRule type="expression" dxfId="12" priority="3">
      <formula>I_step&gt;Iomax</formula>
    </cfRule>
  </conditionalFormatting>
  <conditionalFormatting sqref="F41:G41">
    <cfRule type="expression" dxfId="11" priority="19">
      <formula>OR($H$31&lt;$F$31,$H$31&gt;$F$31)</formula>
    </cfRule>
  </conditionalFormatting>
  <conditionalFormatting sqref="G27">
    <cfRule type="expression" dxfId="10" priority="34">
      <formula>H27&lt;F27</formula>
    </cfRule>
  </conditionalFormatting>
  <conditionalFormatting sqref="G31">
    <cfRule type="expression" dxfId="9" priority="30">
      <formula>OR($H$31&lt;$F$31,$H$31&gt;$F$31)</formula>
    </cfRule>
  </conditionalFormatting>
  <conditionalFormatting sqref="G38">
    <cfRule type="expression" dxfId="8" priority="29">
      <formula>$G$38&lt;$F$38</formula>
    </cfRule>
  </conditionalFormatting>
  <conditionalFormatting sqref="G67">
    <cfRule type="cellIs" dxfId="7" priority="2" operator="lessThan">
      <formula>1</formula>
    </cfRule>
  </conditionalFormatting>
  <conditionalFormatting sqref="G77">
    <cfRule type="expression" dxfId="5" priority="12">
      <formula>$G$77&gt;$F$77</formula>
    </cfRule>
  </conditionalFormatting>
  <conditionalFormatting sqref="G88">
    <cfRule type="expression" dxfId="4" priority="6">
      <formula>G88&lt;F88</formula>
    </cfRule>
  </conditionalFormatting>
  <conditionalFormatting sqref="G99">
    <cfRule type="cellIs" dxfId="3" priority="1" operator="lessThan">
      <formula>1</formula>
    </cfRule>
  </conditionalFormatting>
  <conditionalFormatting sqref="G104">
    <cfRule type="expression" dxfId="2" priority="35">
      <formula>$G$104&gt;$F$104</formula>
    </cfRule>
  </conditionalFormatting>
  <conditionalFormatting sqref="G105">
    <cfRule type="expression" dxfId="1" priority="36">
      <formula>$G$105&gt;$F$105</formula>
    </cfRule>
  </conditionalFormatting>
  <conditionalFormatting sqref="G124">
    <cfRule type="expression" dxfId="0" priority="7">
      <formula>AND(G124="NA",1/Vo_Scale&gt;1)</formula>
    </cfRule>
  </conditionalFormatting>
  <dataValidations count="5">
    <dataValidation type="list" allowBlank="1" showInputMessage="1" showErrorMessage="1" sqref="F21:G21" xr:uid="{00000000-0002-0000-0000-000000000000}">
      <formula1>"Yes,No"</formula1>
      <formula2>0</formula2>
    </dataValidation>
    <dataValidation type="list" allowBlank="1" showInputMessage="1" showErrorMessage="1" sqref="F32" xr:uid="{00000000-0002-0000-0000-000002000000}">
      <formula1>INDIRECT($G$31)</formula1>
    </dataValidation>
    <dataValidation type="list" allowBlank="1" showInputMessage="1" showErrorMessage="1" sqref="F28:G28" xr:uid="{00000000-0002-0000-0000-000003000000}">
      <formula1>INDIRECT($G$27)</formula1>
    </dataValidation>
    <dataValidation type="list" allowBlank="1" showInputMessage="1" showErrorMessage="1" sqref="F45:H45" xr:uid="{D69E38FC-3C05-4CA4-AFB7-361B9030AD8A}">
      <formula1>"Yes,No"</formula1>
    </dataValidation>
    <dataValidation operator="greaterThanOrEqual" allowBlank="1" showInputMessage="1" showErrorMessage="1" errorTitle="Too low DCR" sqref="F88" xr:uid="{9F1924A9-82A7-4D5E-ABEE-4178E42C1854}"/>
  </dataValidations>
  <pageMargins left="0.7" right="0.7" top="0.75" bottom="0.75" header="0.51180555555555496" footer="0.51180555555555496"/>
  <pageSetup firstPageNumber="0" orientation="portrait" horizontalDpi="300" verticalDpi="300" r:id="rId1"/>
  <ignoredErrors>
    <ignoredError sqref="F31 G93 F38 F49:F50 G52:G53 F56 G64:G66" unlockedFormula="1"/>
  </ignoredErrors>
  <drawing r:id="rId2"/>
  <legacyDrawing r:id="rId3"/>
  <oleObjects>
    <mc:AlternateContent xmlns:mc="http://schemas.openxmlformats.org/markup-compatibility/2006">
      <mc:Choice Requires="x14">
        <oleObject progId="Visio.Drawing.15" shapeId="2072" r:id="rId4">
          <objectPr defaultSize="0" autoPict="0" r:id="rId5">
            <anchor moveWithCells="1">
              <from>
                <xdr:col>10</xdr:col>
                <xdr:colOff>708660</xdr:colOff>
                <xdr:row>43</xdr:row>
                <xdr:rowOff>198120</xdr:rowOff>
              </from>
              <to>
                <xdr:col>12</xdr:col>
                <xdr:colOff>1165860</xdr:colOff>
                <xdr:row>50</xdr:row>
                <xdr:rowOff>121920</xdr:rowOff>
              </to>
            </anchor>
          </objectPr>
        </oleObject>
      </mc:Choice>
      <mc:Fallback>
        <oleObject progId="Visio.Drawing.15" shapeId="2072" r:id="rId4"/>
      </mc:Fallback>
    </mc:AlternateContent>
    <mc:AlternateContent xmlns:mc="http://schemas.openxmlformats.org/markup-compatibility/2006">
      <mc:Choice Requires="x14">
        <oleObject progId="Visio.Drawing.15" shapeId="2076" r:id="rId6">
          <objectPr defaultSize="0" autoPict="0" r:id="rId7">
            <anchor moveWithCells="1">
              <from>
                <xdr:col>10</xdr:col>
                <xdr:colOff>716280</xdr:colOff>
                <xdr:row>51</xdr:row>
                <xdr:rowOff>152400</xdr:rowOff>
              </from>
              <to>
                <xdr:col>13</xdr:col>
                <xdr:colOff>22860</xdr:colOff>
                <xdr:row>58</xdr:row>
                <xdr:rowOff>0</xdr:rowOff>
              </to>
            </anchor>
          </objectPr>
        </oleObject>
      </mc:Choice>
      <mc:Fallback>
        <oleObject progId="Visio.Drawing.15" shapeId="2076" r:id="rId6"/>
      </mc:Fallback>
    </mc:AlternateContent>
  </oleObjec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3" id="{00000000-000E-0000-0000-000008000000}">
            <xm:f>Cin_Cout!E88&gt;Vinpp</xm:f>
            <x14:dxf>
              <fill>
                <patternFill>
                  <bgColor rgb="FFFF0000"/>
                </patternFill>
              </fill>
            </x14:dxf>
          </x14:cfRule>
          <xm:sqref>G72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AEF3B786-159E-43CE-BF4E-BC3691ED6B22}">
          <x14:formula1>
            <xm:f>OP_Mode!$I$10:$I$25</xm:f>
          </x14:formula1>
          <xm:sqref>G38</xm:sqref>
        </x14:dataValidation>
        <x14:dataValidation type="list" allowBlank="1" showInputMessage="1" showErrorMessage="1" xr:uid="{00000000-0002-0000-0000-000001000000}">
          <x14:formula1>
            <xm:f>OP_Mode!$D$32:$D$33</xm:f>
          </x14:formula1>
          <xm:sqref>G35</xm:sqref>
        </x14:dataValidation>
        <x14:dataValidation type="list" allowBlank="1" showInputMessage="1" showErrorMessage="1" xr:uid="{00000000-0002-0000-0000-000005000000}">
          <x14:formula1>
            <xm:f>OP_Mode!$D$27:$D$30</xm:f>
          </x14:formula1>
          <xm:sqref>G27</xm:sqref>
        </x14:dataValidation>
        <x14:dataValidation type="list" allowBlank="1" showInputMessage="1" showErrorMessage="1" xr:uid="{BC1F6D23-D158-4329-B8EA-EF0EBEFC21E2}">
          <x14:formula1>
            <xm:f>OP_Mode!$D$35:$D$37</xm:f>
          </x14:formula1>
          <xm:sqref>G31</xm:sqref>
        </x14:dataValidation>
        <x14:dataValidation type="list" allowBlank="1" showInputMessage="1" showErrorMessage="1" xr:uid="{53C21C82-4714-444F-A820-1B4B176AAF07}">
          <x14:formula1>
            <xm:f>OP_Mode!$D$39:$D$86</xm:f>
          </x14:formula1>
          <xm:sqref>F14:G14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T86"/>
  <sheetViews>
    <sheetView zoomScale="85" zoomScaleNormal="85" workbookViewId="0">
      <selection activeCell="H90" sqref="H90"/>
    </sheetView>
  </sheetViews>
  <sheetFormatPr defaultRowHeight="13.8"/>
  <cols>
    <col min="1" max="3" width="9.09765625" customWidth="1"/>
    <col min="4" max="4" width="11.19921875" customWidth="1"/>
    <col min="5" max="8" width="9.09765625" customWidth="1"/>
    <col min="9" max="9" width="10.69921875" customWidth="1"/>
    <col min="10" max="10" width="11.19921875" customWidth="1"/>
    <col min="11" max="1028" width="9.09765625" customWidth="1"/>
  </cols>
  <sheetData>
    <row r="3" spans="2:20" ht="30.75" customHeight="1">
      <c r="B3" s="400" t="s">
        <v>31</v>
      </c>
      <c r="C3" s="401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01"/>
    </row>
    <row r="4" spans="2:20" ht="14.4" thickBot="1"/>
    <row r="5" spans="2:20" ht="14.4" customHeight="1" thickBot="1">
      <c r="C5" s="91" t="s">
        <v>155</v>
      </c>
      <c r="D5" s="397" t="s">
        <v>157</v>
      </c>
      <c r="E5" s="398"/>
      <c r="F5" s="399"/>
      <c r="G5" s="397" t="s">
        <v>158</v>
      </c>
      <c r="H5" s="399"/>
      <c r="I5" s="95" t="s">
        <v>173</v>
      </c>
      <c r="J5" s="397" t="s">
        <v>171</v>
      </c>
      <c r="K5" s="399"/>
      <c r="L5" s="397" t="s">
        <v>159</v>
      </c>
      <c r="M5" s="398"/>
      <c r="N5" s="398"/>
      <c r="O5" s="399"/>
    </row>
    <row r="6" spans="2:20" ht="33.6" customHeight="1">
      <c r="C6" s="92" t="s">
        <v>156</v>
      </c>
      <c r="D6" s="402" t="s">
        <v>160</v>
      </c>
      <c r="E6" s="403"/>
      <c r="F6" s="404"/>
      <c r="G6" s="402" t="s">
        <v>161</v>
      </c>
      <c r="H6" s="404"/>
      <c r="I6" s="395" t="s">
        <v>162</v>
      </c>
      <c r="J6" s="402" t="s">
        <v>163</v>
      </c>
      <c r="K6" s="404"/>
      <c r="L6" s="402" t="s">
        <v>164</v>
      </c>
      <c r="M6" s="403"/>
      <c r="N6" s="403"/>
      <c r="O6" s="404"/>
      <c r="R6" s="83"/>
    </row>
    <row r="7" spans="2:20" ht="14.4" customHeight="1" thickBot="1">
      <c r="C7" s="93"/>
      <c r="D7" s="405"/>
      <c r="E7" s="406"/>
      <c r="F7" s="407"/>
      <c r="G7" s="405"/>
      <c r="H7" s="407"/>
      <c r="I7" s="396"/>
      <c r="J7" s="405"/>
      <c r="K7" s="407"/>
      <c r="L7" s="405" t="s">
        <v>165</v>
      </c>
      <c r="M7" s="406"/>
      <c r="N7" s="406"/>
      <c r="O7" s="407"/>
      <c r="R7" s="103"/>
    </row>
    <row r="8" spans="2:20" ht="13.95" customHeight="1">
      <c r="C8" s="93"/>
      <c r="D8" s="395" t="s">
        <v>32</v>
      </c>
      <c r="E8" s="395" t="s">
        <v>33</v>
      </c>
      <c r="F8" s="395" t="s">
        <v>34</v>
      </c>
      <c r="G8" s="395" t="s">
        <v>166</v>
      </c>
      <c r="H8" s="395" t="s">
        <v>167</v>
      </c>
      <c r="I8" s="96" t="s">
        <v>168</v>
      </c>
      <c r="J8" s="395" t="s">
        <v>36</v>
      </c>
      <c r="K8" s="395" t="s">
        <v>35</v>
      </c>
      <c r="L8" s="395">
        <v>1</v>
      </c>
      <c r="M8" s="395">
        <v>2</v>
      </c>
      <c r="N8" s="395">
        <v>3</v>
      </c>
      <c r="O8" s="395">
        <v>4</v>
      </c>
    </row>
    <row r="9" spans="2:20" ht="14.4" thickBot="1">
      <c r="C9" s="94"/>
      <c r="D9" s="396"/>
      <c r="E9" s="396"/>
      <c r="F9" s="396"/>
      <c r="G9" s="396"/>
      <c r="H9" s="396"/>
      <c r="I9" s="97" t="s">
        <v>37</v>
      </c>
      <c r="J9" s="396"/>
      <c r="K9" s="396"/>
      <c r="L9" s="396"/>
      <c r="M9" s="396"/>
      <c r="N9" s="396"/>
      <c r="O9" s="396"/>
    </row>
    <row r="10" spans="2:20" ht="14.4" thickBot="1">
      <c r="C10" s="98">
        <v>10</v>
      </c>
      <c r="D10" s="99">
        <v>0.5</v>
      </c>
      <c r="E10" s="99">
        <v>1.3</v>
      </c>
      <c r="F10" s="99">
        <v>2.4</v>
      </c>
      <c r="G10" s="99">
        <v>1</v>
      </c>
      <c r="H10" s="102">
        <v>1</v>
      </c>
      <c r="I10" s="99">
        <v>10</v>
      </c>
      <c r="J10" s="100">
        <v>1</v>
      </c>
      <c r="K10" s="102" t="s">
        <v>38</v>
      </c>
      <c r="L10" s="99">
        <v>200</v>
      </c>
      <c r="M10" s="99">
        <v>200</v>
      </c>
      <c r="N10" s="99">
        <v>200</v>
      </c>
      <c r="O10" s="99">
        <v>200</v>
      </c>
      <c r="R10" t="e">
        <f>VLOOKUP(1&amp;0.5,IF({1,0},OP_Mode!G10:G25&amp;OP_Mode!H10:H25,OP_Mode!C10:C25),2,0)</f>
        <v>#N/A</v>
      </c>
    </row>
    <row r="11" spans="2:20" ht="14.4" thickBot="1">
      <c r="C11" s="98">
        <v>15</v>
      </c>
      <c r="D11" s="99">
        <v>0.55000000000000004</v>
      </c>
      <c r="E11" s="99">
        <v>1.35</v>
      </c>
      <c r="F11" s="99">
        <v>2.5</v>
      </c>
      <c r="G11" s="99">
        <v>3</v>
      </c>
      <c r="H11" s="102">
        <v>1</v>
      </c>
      <c r="I11" s="99">
        <v>12</v>
      </c>
      <c r="J11" s="100">
        <v>1</v>
      </c>
      <c r="K11" s="102" t="s">
        <v>38</v>
      </c>
      <c r="L11" s="99">
        <v>250</v>
      </c>
      <c r="M11" s="99">
        <v>250</v>
      </c>
      <c r="N11" s="99">
        <v>250</v>
      </c>
      <c r="O11" s="99">
        <v>250</v>
      </c>
    </row>
    <row r="12" spans="2:20" ht="14.4" thickBot="1">
      <c r="C12" s="98">
        <v>18.2</v>
      </c>
      <c r="D12" s="99">
        <v>0.6</v>
      </c>
      <c r="E12" s="99">
        <v>1.4</v>
      </c>
      <c r="F12" s="99">
        <v>2.6</v>
      </c>
      <c r="G12" s="99">
        <v>5</v>
      </c>
      <c r="H12" s="102">
        <v>1</v>
      </c>
      <c r="I12" s="99">
        <v>14</v>
      </c>
      <c r="J12" s="100">
        <v>1</v>
      </c>
      <c r="K12" s="9" t="s">
        <v>42</v>
      </c>
      <c r="L12" s="99">
        <v>300</v>
      </c>
      <c r="M12" s="99">
        <v>300</v>
      </c>
      <c r="N12" s="99">
        <v>300</v>
      </c>
      <c r="O12" s="99">
        <v>300</v>
      </c>
      <c r="R12" t="e" cm="1">
        <f t="array" ref="R12">VLOOKUP(R13,IF({1,0},J10:J25&amp;I10:I25,C10:C25),2,0)</f>
        <v>#N/A</v>
      </c>
    </row>
    <row r="13" spans="2:20" ht="14.4" thickBot="1">
      <c r="C13" s="98">
        <v>22.1</v>
      </c>
      <c r="D13" s="99">
        <v>0.65</v>
      </c>
      <c r="E13" s="99">
        <v>1.45</v>
      </c>
      <c r="F13" s="99">
        <v>2.7</v>
      </c>
      <c r="G13" s="99">
        <v>10</v>
      </c>
      <c r="H13" s="102">
        <v>1</v>
      </c>
      <c r="I13" s="99">
        <v>16</v>
      </c>
      <c r="J13" s="100">
        <v>1</v>
      </c>
      <c r="K13" s="9" t="s">
        <v>42</v>
      </c>
      <c r="L13" s="99">
        <v>350</v>
      </c>
      <c r="M13" s="99">
        <v>350</v>
      </c>
      <c r="N13" s="99">
        <v>350</v>
      </c>
      <c r="O13" s="99">
        <v>350</v>
      </c>
      <c r="R13" t="str">
        <f>Front!H27&amp;Front!F28</f>
        <v>1500</v>
      </c>
      <c r="T13" t="b">
        <f>R13=J20&amp;I20</f>
        <v>0</v>
      </c>
    </row>
    <row r="14" spans="2:20" ht="14.4" thickBot="1">
      <c r="C14" s="98">
        <v>27.4</v>
      </c>
      <c r="D14" s="99">
        <v>0.7</v>
      </c>
      <c r="E14" s="99">
        <v>1.5</v>
      </c>
      <c r="F14" s="99">
        <v>2.8</v>
      </c>
      <c r="G14" s="99">
        <v>15</v>
      </c>
      <c r="H14" s="102">
        <v>1</v>
      </c>
      <c r="I14" s="99">
        <v>18</v>
      </c>
      <c r="J14" s="100">
        <v>2</v>
      </c>
      <c r="K14" s="102" t="s">
        <v>38</v>
      </c>
      <c r="L14" s="99">
        <v>400</v>
      </c>
      <c r="M14" s="99">
        <v>400</v>
      </c>
      <c r="N14" s="99">
        <v>400</v>
      </c>
      <c r="O14" s="99">
        <v>400</v>
      </c>
      <c r="R14" t="e" cm="1">
        <f t="array" ref="R14">INDEX(C10:C25,MATCH(R13,J10:J25&amp;I10:I25,0))</f>
        <v>#N/A</v>
      </c>
    </row>
    <row r="15" spans="2:20" ht="14.4" thickBot="1">
      <c r="C15" s="98">
        <v>33.200000000000003</v>
      </c>
      <c r="D15" s="99">
        <v>0.75</v>
      </c>
      <c r="E15" s="99">
        <v>1.55</v>
      </c>
      <c r="F15" s="99">
        <v>2.9</v>
      </c>
      <c r="G15" s="99">
        <v>1</v>
      </c>
      <c r="H15" s="102">
        <v>0.5</v>
      </c>
      <c r="I15" s="99">
        <v>20</v>
      </c>
      <c r="J15" s="100">
        <v>2</v>
      </c>
      <c r="K15" s="102" t="s">
        <v>38</v>
      </c>
      <c r="L15" s="99">
        <v>500</v>
      </c>
      <c r="M15" s="99">
        <v>450</v>
      </c>
      <c r="N15" s="99">
        <v>450</v>
      </c>
      <c r="O15" s="99">
        <v>450</v>
      </c>
    </row>
    <row r="16" spans="2:20" ht="14.4" thickBot="1">
      <c r="C16" s="98">
        <v>39.200000000000003</v>
      </c>
      <c r="D16" s="99">
        <v>0.8</v>
      </c>
      <c r="E16" s="99">
        <v>1.6</v>
      </c>
      <c r="F16" s="99">
        <v>3</v>
      </c>
      <c r="G16" s="99">
        <v>3</v>
      </c>
      <c r="H16" s="102">
        <v>0.5</v>
      </c>
      <c r="I16" s="99">
        <v>24</v>
      </c>
      <c r="J16" s="100">
        <v>2</v>
      </c>
      <c r="K16" s="9" t="s">
        <v>42</v>
      </c>
      <c r="L16" s="99">
        <v>600</v>
      </c>
      <c r="M16" s="99">
        <v>500</v>
      </c>
      <c r="N16" s="99">
        <v>500</v>
      </c>
      <c r="O16" s="99">
        <v>500</v>
      </c>
    </row>
    <row r="17" spans="3:20" ht="14.4" thickBot="1">
      <c r="C17" s="98">
        <v>47.5</v>
      </c>
      <c r="D17" s="99">
        <v>0.85</v>
      </c>
      <c r="E17" s="99">
        <v>1.65</v>
      </c>
      <c r="F17" s="99">
        <v>3.1</v>
      </c>
      <c r="G17" s="99">
        <v>5</v>
      </c>
      <c r="H17" s="102">
        <v>0.5</v>
      </c>
      <c r="I17" s="99">
        <v>28</v>
      </c>
      <c r="J17" s="100">
        <v>2</v>
      </c>
      <c r="K17" s="9" t="s">
        <v>42</v>
      </c>
      <c r="L17" s="99">
        <v>700</v>
      </c>
      <c r="M17" s="99">
        <v>550</v>
      </c>
      <c r="N17" s="99">
        <v>550</v>
      </c>
      <c r="O17" s="99"/>
      <c r="R17" t="e" cm="1">
        <f t="array" ref="R17">VLOOKUP(R13,IF({0,1},C10:C25,J10:J25&amp;I10:I25),2,0)</f>
        <v>#N/A</v>
      </c>
      <c r="T17" t="e">
        <f>Front!#REF!=OP_Mode!E20</f>
        <v>#REF!</v>
      </c>
    </row>
    <row r="18" spans="3:20" ht="15.75" customHeight="1" thickBot="1">
      <c r="C18" s="98">
        <v>56.2</v>
      </c>
      <c r="D18" s="99">
        <v>0.9</v>
      </c>
      <c r="E18" s="99">
        <v>1.7</v>
      </c>
      <c r="F18" s="99">
        <v>3.2</v>
      </c>
      <c r="G18" s="99">
        <v>10</v>
      </c>
      <c r="H18" s="102">
        <v>0.5</v>
      </c>
      <c r="I18" s="99">
        <v>32</v>
      </c>
      <c r="J18" s="100">
        <v>3</v>
      </c>
      <c r="K18" s="102" t="s">
        <v>38</v>
      </c>
      <c r="L18" s="99">
        <v>800</v>
      </c>
      <c r="M18" s="99">
        <v>600</v>
      </c>
      <c r="N18" s="99">
        <v>600</v>
      </c>
      <c r="O18" s="99"/>
    </row>
    <row r="19" spans="3:20" ht="17.25" customHeight="1" thickBot="1">
      <c r="C19" s="98">
        <v>68.099999999999994</v>
      </c>
      <c r="D19" s="99">
        <v>0.95</v>
      </c>
      <c r="E19" s="99">
        <v>1.75</v>
      </c>
      <c r="F19" s="99">
        <v>3.3</v>
      </c>
      <c r="G19" s="99">
        <v>15</v>
      </c>
      <c r="H19" s="102">
        <v>0.5</v>
      </c>
      <c r="I19" s="99">
        <v>36</v>
      </c>
      <c r="J19" s="100">
        <v>3</v>
      </c>
      <c r="K19" s="102" t="s">
        <v>38</v>
      </c>
      <c r="L19" s="99">
        <v>900</v>
      </c>
      <c r="M19" s="99">
        <v>650</v>
      </c>
      <c r="N19" s="99">
        <v>650</v>
      </c>
      <c r="O19" s="99"/>
    </row>
    <row r="20" spans="3:20" ht="17.25" customHeight="1" thickBot="1">
      <c r="C20" s="98">
        <v>82.5</v>
      </c>
      <c r="D20" s="99">
        <v>1</v>
      </c>
      <c r="E20" s="99">
        <v>1.8</v>
      </c>
      <c r="F20" s="99">
        <v>3.4</v>
      </c>
      <c r="G20" s="99">
        <v>1</v>
      </c>
      <c r="H20" s="102">
        <v>0.25</v>
      </c>
      <c r="I20" s="99">
        <v>40</v>
      </c>
      <c r="J20" s="100">
        <v>3</v>
      </c>
      <c r="K20" s="9" t="s">
        <v>42</v>
      </c>
      <c r="L20" s="101">
        <v>1000</v>
      </c>
      <c r="M20" s="99">
        <v>700</v>
      </c>
      <c r="N20" s="99"/>
      <c r="O20" s="99"/>
      <c r="Q20" s="14">
        <v>4</v>
      </c>
      <c r="R20" s="14">
        <f>VLOOKUP(Q20,IF({1,0},F10:F25,C10:C25),2,0)</f>
        <v>121</v>
      </c>
    </row>
    <row r="21" spans="3:20" ht="16.5" customHeight="1" thickBot="1">
      <c r="C21" s="98">
        <v>100</v>
      </c>
      <c r="D21" s="99">
        <v>1.05</v>
      </c>
      <c r="E21" s="99">
        <v>1.9</v>
      </c>
      <c r="F21" s="99">
        <v>3.5</v>
      </c>
      <c r="G21" s="99">
        <v>3</v>
      </c>
      <c r="H21" s="102">
        <v>0.25</v>
      </c>
      <c r="I21" s="99">
        <v>44</v>
      </c>
      <c r="J21" s="100">
        <v>3</v>
      </c>
      <c r="K21" s="9" t="s">
        <v>42</v>
      </c>
      <c r="L21" s="101">
        <v>1200</v>
      </c>
      <c r="M21" s="99">
        <v>750</v>
      </c>
      <c r="N21" s="99"/>
      <c r="O21" s="99"/>
      <c r="R21" s="14">
        <f>VLOOKUP(Q20,IF({0,1},C10:C25,F10:F25),2,0)</f>
        <v>121</v>
      </c>
    </row>
    <row r="22" spans="3:20" ht="14.4" thickBot="1">
      <c r="C22" s="98">
        <v>121</v>
      </c>
      <c r="D22" s="99">
        <v>1.1000000000000001</v>
      </c>
      <c r="E22" s="99">
        <v>2</v>
      </c>
      <c r="F22" s="99">
        <v>4</v>
      </c>
      <c r="G22" s="99">
        <v>5</v>
      </c>
      <c r="H22" s="102">
        <v>0.25</v>
      </c>
      <c r="I22" s="99">
        <v>48</v>
      </c>
      <c r="J22" s="100">
        <v>4</v>
      </c>
      <c r="K22" s="102" t="s">
        <v>38</v>
      </c>
      <c r="L22" s="101">
        <v>1400</v>
      </c>
      <c r="M22" s="99">
        <v>800</v>
      </c>
      <c r="N22" s="99"/>
      <c r="O22" s="99"/>
    </row>
    <row r="23" spans="3:20" ht="14.4" thickBot="1">
      <c r="C23" s="98">
        <v>150</v>
      </c>
      <c r="D23" s="99">
        <v>1.1499999999999999</v>
      </c>
      <c r="E23" s="99">
        <v>2.1</v>
      </c>
      <c r="F23" s="99">
        <v>4.5</v>
      </c>
      <c r="G23" s="99">
        <v>10</v>
      </c>
      <c r="H23" s="102">
        <v>0.25</v>
      </c>
      <c r="I23" s="99">
        <v>52</v>
      </c>
      <c r="J23" s="100">
        <v>4</v>
      </c>
      <c r="K23" s="102" t="s">
        <v>38</v>
      </c>
      <c r="L23" s="101">
        <v>1600</v>
      </c>
      <c r="M23" s="99">
        <v>850</v>
      </c>
      <c r="N23" s="99"/>
      <c r="O23" s="99"/>
    </row>
    <row r="24" spans="3:20" ht="14.4" thickBot="1">
      <c r="C24" s="98">
        <v>182</v>
      </c>
      <c r="D24" s="99">
        <v>1.2</v>
      </c>
      <c r="E24" s="99">
        <v>2.2000000000000002</v>
      </c>
      <c r="F24" s="99">
        <v>5</v>
      </c>
      <c r="G24" s="99">
        <v>15</v>
      </c>
      <c r="H24" s="102">
        <v>0.25</v>
      </c>
      <c r="I24" s="99">
        <v>56</v>
      </c>
      <c r="J24" s="100">
        <v>4</v>
      </c>
      <c r="K24" s="9" t="s">
        <v>42</v>
      </c>
      <c r="L24" s="101">
        <v>1800</v>
      </c>
      <c r="M24" s="99">
        <v>900</v>
      </c>
      <c r="N24" s="99"/>
      <c r="O24" s="99"/>
    </row>
    <row r="25" spans="3:20" ht="14.4" thickBot="1">
      <c r="C25" s="98" t="s">
        <v>169</v>
      </c>
      <c r="D25" s="99">
        <v>1.25</v>
      </c>
      <c r="E25" s="99">
        <v>2.2999999999999998</v>
      </c>
      <c r="F25" s="99">
        <v>5.5</v>
      </c>
      <c r="G25" s="99">
        <v>20</v>
      </c>
      <c r="H25" s="99">
        <v>0.25</v>
      </c>
      <c r="I25" s="99">
        <v>60</v>
      </c>
      <c r="J25" s="100">
        <v>4</v>
      </c>
      <c r="K25" s="9" t="s">
        <v>42</v>
      </c>
      <c r="L25" s="101">
        <v>2000</v>
      </c>
      <c r="M25" s="101">
        <v>1000</v>
      </c>
      <c r="N25" s="99"/>
      <c r="O25" s="99"/>
      <c r="R25" t="str">
        <f>VLOOKUP(1&amp;1.8,IF({1,0},OP_Mode!D10:D25&amp;OP_Mode!E10:E25,OP_Mode!C10:C25),2,1)</f>
        <v>open</v>
      </c>
    </row>
    <row r="26" spans="3:20" ht="14.4" thickBot="1"/>
    <row r="27" spans="3:20" ht="14.4" thickBot="1">
      <c r="D27" s="11" t="s">
        <v>48</v>
      </c>
      <c r="E27" s="104">
        <v>200</v>
      </c>
      <c r="F27" s="105">
        <v>250</v>
      </c>
      <c r="G27" s="105">
        <v>300</v>
      </c>
      <c r="H27" s="105">
        <v>350</v>
      </c>
      <c r="I27" s="105">
        <v>400</v>
      </c>
      <c r="J27" s="105">
        <v>500</v>
      </c>
      <c r="K27" s="105">
        <v>600</v>
      </c>
      <c r="L27" s="105">
        <v>700</v>
      </c>
      <c r="M27" s="105">
        <v>800</v>
      </c>
      <c r="N27" s="105">
        <v>900</v>
      </c>
      <c r="O27" s="106">
        <v>1000</v>
      </c>
      <c r="P27" s="106">
        <v>1200</v>
      </c>
      <c r="Q27" s="106">
        <v>1400</v>
      </c>
      <c r="R27" s="106">
        <v>1600</v>
      </c>
      <c r="S27" s="106">
        <v>1800</v>
      </c>
      <c r="T27" s="106">
        <v>2000</v>
      </c>
    </row>
    <row r="28" spans="3:20" ht="14.4" thickBot="1">
      <c r="D28" s="12" t="s">
        <v>49</v>
      </c>
      <c r="E28" s="99">
        <v>200</v>
      </c>
      <c r="F28" s="99">
        <v>250</v>
      </c>
      <c r="G28" s="99">
        <v>300</v>
      </c>
      <c r="H28" s="99">
        <v>350</v>
      </c>
      <c r="I28" s="99">
        <v>400</v>
      </c>
      <c r="J28" s="99">
        <v>450</v>
      </c>
      <c r="K28" s="99">
        <v>500</v>
      </c>
      <c r="L28" s="99">
        <v>550</v>
      </c>
      <c r="M28" s="99">
        <v>600</v>
      </c>
      <c r="N28" s="99">
        <v>650</v>
      </c>
      <c r="O28" s="99">
        <v>700</v>
      </c>
      <c r="P28" s="99">
        <v>750</v>
      </c>
      <c r="Q28" s="99">
        <v>800</v>
      </c>
      <c r="R28" s="99">
        <v>850</v>
      </c>
      <c r="S28" s="99">
        <v>900</v>
      </c>
      <c r="T28" s="101">
        <v>1000</v>
      </c>
    </row>
    <row r="29" spans="3:20" ht="16.5" customHeight="1" thickBot="1">
      <c r="D29" s="12" t="s">
        <v>50</v>
      </c>
      <c r="E29" s="99">
        <v>200</v>
      </c>
      <c r="F29" s="99">
        <v>250</v>
      </c>
      <c r="G29" s="99">
        <v>300</v>
      </c>
      <c r="H29" s="99">
        <v>350</v>
      </c>
      <c r="I29" s="99">
        <v>400</v>
      </c>
      <c r="J29" s="99">
        <v>450</v>
      </c>
      <c r="K29" s="99">
        <v>500</v>
      </c>
      <c r="L29" s="99">
        <v>550</v>
      </c>
      <c r="M29" s="99">
        <v>600</v>
      </c>
      <c r="N29" s="99">
        <v>650</v>
      </c>
      <c r="O29" s="99" t="s">
        <v>170</v>
      </c>
      <c r="P29" s="99" t="s">
        <v>170</v>
      </c>
      <c r="Q29" s="99" t="s">
        <v>170</v>
      </c>
      <c r="R29" s="99" t="s">
        <v>170</v>
      </c>
      <c r="S29" s="99" t="s">
        <v>170</v>
      </c>
      <c r="T29" s="99" t="s">
        <v>170</v>
      </c>
    </row>
    <row r="30" spans="3:20" ht="14.4" thickBot="1">
      <c r="D30" s="9" t="s">
        <v>51</v>
      </c>
      <c r="E30" s="99">
        <v>200</v>
      </c>
      <c r="F30" s="99">
        <v>250</v>
      </c>
      <c r="G30" s="99">
        <v>300</v>
      </c>
      <c r="H30" s="99">
        <v>350</v>
      </c>
      <c r="I30" s="99">
        <v>400</v>
      </c>
      <c r="J30" s="99">
        <v>450</v>
      </c>
      <c r="K30" s="99">
        <v>500</v>
      </c>
      <c r="L30" s="99" t="s">
        <v>170</v>
      </c>
      <c r="M30" s="99" t="s">
        <v>170</v>
      </c>
      <c r="N30" s="99" t="s">
        <v>170</v>
      </c>
      <c r="O30" s="99" t="s">
        <v>170</v>
      </c>
      <c r="P30" s="99" t="s">
        <v>170</v>
      </c>
      <c r="Q30" s="99" t="s">
        <v>170</v>
      </c>
      <c r="R30" s="99" t="s">
        <v>170</v>
      </c>
      <c r="S30" s="99" t="s">
        <v>170</v>
      </c>
      <c r="T30" s="99" t="s">
        <v>170</v>
      </c>
    </row>
    <row r="31" spans="3:20" ht="14.4" thickBot="1"/>
    <row r="32" spans="3:20" ht="14.4" thickBot="1">
      <c r="D32" s="11" t="s">
        <v>38</v>
      </c>
      <c r="E32" s="13">
        <v>14</v>
      </c>
      <c r="F32" s="13">
        <v>18</v>
      </c>
      <c r="G32" s="13">
        <v>24</v>
      </c>
      <c r="H32" s="13">
        <v>30</v>
      </c>
      <c r="I32" s="13">
        <v>36</v>
      </c>
      <c r="J32" s="13">
        <v>42</v>
      </c>
      <c r="K32" s="13">
        <v>50</v>
      </c>
      <c r="L32" s="13">
        <v>60</v>
      </c>
    </row>
    <row r="33" spans="4:12" ht="14.4" thickBot="1">
      <c r="D33" s="9" t="s">
        <v>42</v>
      </c>
      <c r="E33" s="10">
        <v>14</v>
      </c>
      <c r="F33" s="10">
        <v>18</v>
      </c>
      <c r="G33" s="10">
        <v>24</v>
      </c>
      <c r="H33" s="10">
        <v>30</v>
      </c>
      <c r="I33" s="10">
        <v>36</v>
      </c>
      <c r="J33" s="10">
        <v>42</v>
      </c>
      <c r="K33" s="10">
        <v>50</v>
      </c>
      <c r="L33" s="10">
        <v>60</v>
      </c>
    </row>
    <row r="34" spans="4:12" ht="14.4" thickBot="1"/>
    <row r="35" spans="4:12" ht="14.4" thickBot="1">
      <c r="D35" s="11" t="s">
        <v>46</v>
      </c>
      <c r="E35" s="21">
        <v>1</v>
      </c>
      <c r="F35" s="22">
        <v>3</v>
      </c>
      <c r="G35" s="22">
        <v>5</v>
      </c>
      <c r="H35" s="22">
        <v>10</v>
      </c>
      <c r="I35" s="22">
        <v>15</v>
      </c>
      <c r="J35" s="13" t="s">
        <v>170</v>
      </c>
    </row>
    <row r="36" spans="4:12" ht="14.4" thickBot="1">
      <c r="D36" s="12" t="s">
        <v>45</v>
      </c>
      <c r="E36" s="23">
        <v>1</v>
      </c>
      <c r="F36" s="20">
        <v>3</v>
      </c>
      <c r="G36" s="20">
        <v>5</v>
      </c>
      <c r="H36" s="20">
        <v>10</v>
      </c>
      <c r="I36" s="20">
        <v>15</v>
      </c>
      <c r="J36" s="99" t="s">
        <v>170</v>
      </c>
    </row>
    <row r="37" spans="4:12" ht="14.4" thickBot="1">
      <c r="D37" s="9" t="s">
        <v>47</v>
      </c>
      <c r="E37" s="24">
        <v>1</v>
      </c>
      <c r="F37" s="25">
        <v>3</v>
      </c>
      <c r="G37" s="25">
        <v>5</v>
      </c>
      <c r="H37" s="25">
        <v>10</v>
      </c>
      <c r="I37" s="25">
        <v>15</v>
      </c>
      <c r="J37" s="26">
        <v>20</v>
      </c>
    </row>
    <row r="38" spans="4:12" ht="14.4" thickBot="1"/>
    <row r="39" spans="4:12">
      <c r="D39" s="17">
        <v>0.5</v>
      </c>
      <c r="E39" s="11">
        <v>10</v>
      </c>
    </row>
    <row r="40" spans="4:12">
      <c r="D40" s="18">
        <v>0.55000000000000004</v>
      </c>
      <c r="E40" s="12">
        <v>15</v>
      </c>
    </row>
    <row r="41" spans="4:12">
      <c r="D41" s="18">
        <v>0.6</v>
      </c>
      <c r="E41" s="12">
        <v>18.2</v>
      </c>
    </row>
    <row r="42" spans="4:12">
      <c r="D42" s="18">
        <v>0.65</v>
      </c>
      <c r="E42" s="12">
        <v>22.1</v>
      </c>
    </row>
    <row r="43" spans="4:12">
      <c r="D43" s="18">
        <v>0.7</v>
      </c>
      <c r="E43" s="12">
        <v>27.4</v>
      </c>
    </row>
    <row r="44" spans="4:12">
      <c r="D44" s="18">
        <v>0.75</v>
      </c>
      <c r="E44" s="12">
        <v>33.200000000000003</v>
      </c>
    </row>
    <row r="45" spans="4:12">
      <c r="D45" s="18">
        <v>0.8</v>
      </c>
      <c r="E45" s="12">
        <v>39.200000000000003</v>
      </c>
    </row>
    <row r="46" spans="4:12">
      <c r="D46" s="18">
        <v>0.85</v>
      </c>
      <c r="E46" s="12">
        <v>47.5</v>
      </c>
    </row>
    <row r="47" spans="4:12">
      <c r="D47" s="18">
        <v>0.9</v>
      </c>
      <c r="E47" s="12">
        <v>56.2</v>
      </c>
    </row>
    <row r="48" spans="4:12">
      <c r="D48" s="18">
        <v>0.95</v>
      </c>
      <c r="E48" s="12">
        <v>68.099999999999994</v>
      </c>
    </row>
    <row r="49" spans="4:5">
      <c r="D49" s="18">
        <v>1</v>
      </c>
      <c r="E49" s="12">
        <v>82.5</v>
      </c>
    </row>
    <row r="50" spans="4:5">
      <c r="D50" s="18">
        <v>1.05</v>
      </c>
      <c r="E50" s="12">
        <v>100</v>
      </c>
    </row>
    <row r="51" spans="4:5">
      <c r="D51" s="18">
        <v>1.1000000000000001</v>
      </c>
      <c r="E51" s="12">
        <v>121</v>
      </c>
    </row>
    <row r="52" spans="4:5">
      <c r="D52" s="18">
        <v>1.1499999999999999</v>
      </c>
      <c r="E52" s="12">
        <v>150</v>
      </c>
    </row>
    <row r="53" spans="4:5">
      <c r="D53" s="18">
        <v>1.2</v>
      </c>
      <c r="E53" s="12">
        <v>182</v>
      </c>
    </row>
    <row r="54" spans="4:5">
      <c r="D54" s="18">
        <v>1.25</v>
      </c>
      <c r="E54" s="12">
        <v>221</v>
      </c>
    </row>
    <row r="55" spans="4:5">
      <c r="D55" s="18">
        <v>1.3</v>
      </c>
      <c r="E55" s="12">
        <v>10</v>
      </c>
    </row>
    <row r="56" spans="4:5">
      <c r="D56" s="18">
        <v>1.35</v>
      </c>
      <c r="E56" s="12">
        <v>15</v>
      </c>
    </row>
    <row r="57" spans="4:5">
      <c r="D57" s="18">
        <v>1.4</v>
      </c>
      <c r="E57" s="12">
        <v>18.2</v>
      </c>
    </row>
    <row r="58" spans="4:5">
      <c r="D58" s="18">
        <v>1.45</v>
      </c>
      <c r="E58" s="12">
        <v>22.1</v>
      </c>
    </row>
    <row r="59" spans="4:5">
      <c r="D59" s="18">
        <v>1.5</v>
      </c>
      <c r="E59" s="12">
        <v>27.4</v>
      </c>
    </row>
    <row r="60" spans="4:5">
      <c r="D60" s="18">
        <v>1.55</v>
      </c>
      <c r="E60" s="12">
        <v>33.200000000000003</v>
      </c>
    </row>
    <row r="61" spans="4:5">
      <c r="D61" s="18">
        <v>1.6</v>
      </c>
      <c r="E61" s="12">
        <v>39.200000000000003</v>
      </c>
    </row>
    <row r="62" spans="4:5">
      <c r="D62" s="18">
        <v>1.65</v>
      </c>
      <c r="E62" s="12">
        <v>47.5</v>
      </c>
    </row>
    <row r="63" spans="4:5">
      <c r="D63" s="18">
        <v>1.7</v>
      </c>
      <c r="E63" s="12">
        <v>56.2</v>
      </c>
    </row>
    <row r="64" spans="4:5">
      <c r="D64" s="18">
        <v>1.75</v>
      </c>
      <c r="E64" s="12">
        <v>68.099999999999994</v>
      </c>
    </row>
    <row r="65" spans="4:5">
      <c r="D65" s="18">
        <v>1.8</v>
      </c>
      <c r="E65" s="12">
        <v>82.5</v>
      </c>
    </row>
    <row r="66" spans="4:5">
      <c r="D66" s="18">
        <v>1.9</v>
      </c>
      <c r="E66" s="12">
        <v>100</v>
      </c>
    </row>
    <row r="67" spans="4:5">
      <c r="D67" s="18">
        <v>2</v>
      </c>
      <c r="E67" s="12">
        <v>121</v>
      </c>
    </row>
    <row r="68" spans="4:5">
      <c r="D68" s="18">
        <v>2.1</v>
      </c>
      <c r="E68" s="12">
        <v>150</v>
      </c>
    </row>
    <row r="69" spans="4:5">
      <c r="D69" s="18">
        <v>2.2000000000000002</v>
      </c>
      <c r="E69" s="12">
        <v>182</v>
      </c>
    </row>
    <row r="70" spans="4:5">
      <c r="D70" s="18">
        <v>2.2999999999999998</v>
      </c>
      <c r="E70" s="12">
        <v>221</v>
      </c>
    </row>
    <row r="71" spans="4:5">
      <c r="D71" s="18">
        <v>2.4</v>
      </c>
      <c r="E71" s="12">
        <v>10</v>
      </c>
    </row>
    <row r="72" spans="4:5">
      <c r="D72" s="18">
        <v>2.5</v>
      </c>
      <c r="E72" s="12">
        <v>15</v>
      </c>
    </row>
    <row r="73" spans="4:5">
      <c r="D73" s="18">
        <v>2.6</v>
      </c>
      <c r="E73" s="12">
        <v>18.2</v>
      </c>
    </row>
    <row r="74" spans="4:5">
      <c r="D74" s="18">
        <v>2.7</v>
      </c>
      <c r="E74" s="12">
        <v>22.1</v>
      </c>
    </row>
    <row r="75" spans="4:5">
      <c r="D75" s="18">
        <v>2.8</v>
      </c>
      <c r="E75" s="12">
        <v>27.4</v>
      </c>
    </row>
    <row r="76" spans="4:5">
      <c r="D76" s="18">
        <v>2.9</v>
      </c>
      <c r="E76" s="12">
        <v>33.200000000000003</v>
      </c>
    </row>
    <row r="77" spans="4:5">
      <c r="D77" s="18">
        <v>3</v>
      </c>
      <c r="E77" s="12">
        <v>39.200000000000003</v>
      </c>
    </row>
    <row r="78" spans="4:5">
      <c r="D78" s="18">
        <v>3.1</v>
      </c>
      <c r="E78" s="12">
        <v>47.5</v>
      </c>
    </row>
    <row r="79" spans="4:5">
      <c r="D79" s="18">
        <v>3.2</v>
      </c>
      <c r="E79" s="12">
        <v>56.2</v>
      </c>
    </row>
    <row r="80" spans="4:5">
      <c r="D80" s="18">
        <v>3.3</v>
      </c>
      <c r="E80" s="12">
        <v>68.099999999999994</v>
      </c>
    </row>
    <row r="81" spans="4:5">
      <c r="D81" s="18">
        <v>3.4</v>
      </c>
      <c r="E81" s="12">
        <v>82.5</v>
      </c>
    </row>
    <row r="82" spans="4:5">
      <c r="D82" s="18">
        <v>3.5</v>
      </c>
      <c r="E82" s="12">
        <v>100</v>
      </c>
    </row>
    <row r="83" spans="4:5">
      <c r="D83" s="18">
        <v>4</v>
      </c>
      <c r="E83" s="12">
        <v>121</v>
      </c>
    </row>
    <row r="84" spans="4:5">
      <c r="D84" s="18">
        <v>4.5</v>
      </c>
      <c r="E84" s="12">
        <v>150</v>
      </c>
    </row>
    <row r="85" spans="4:5">
      <c r="D85" s="18">
        <v>5</v>
      </c>
      <c r="E85" s="12">
        <v>182</v>
      </c>
    </row>
    <row r="86" spans="4:5" ht="14.4" thickBot="1">
      <c r="D86" s="19">
        <v>5.5</v>
      </c>
      <c r="E86" s="9">
        <v>221</v>
      </c>
    </row>
  </sheetData>
  <mergeCells count="22">
    <mergeCell ref="B3:P3"/>
    <mergeCell ref="D6:F7"/>
    <mergeCell ref="G6:H7"/>
    <mergeCell ref="I6:I7"/>
    <mergeCell ref="J6:K7"/>
    <mergeCell ref="L6:O6"/>
    <mergeCell ref="L7:O7"/>
    <mergeCell ref="O8:O9"/>
    <mergeCell ref="M8:M9"/>
    <mergeCell ref="N8:N9"/>
    <mergeCell ref="D5:F5"/>
    <mergeCell ref="G5:H5"/>
    <mergeCell ref="J5:K5"/>
    <mergeCell ref="L5:O5"/>
    <mergeCell ref="J8:J9"/>
    <mergeCell ref="K8:K9"/>
    <mergeCell ref="L8:L9"/>
    <mergeCell ref="D8:D9"/>
    <mergeCell ref="E8:E9"/>
    <mergeCell ref="F8:F9"/>
    <mergeCell ref="H8:H9"/>
    <mergeCell ref="G8:G9"/>
  </mergeCells>
  <phoneticPr fontId="18" type="noConversion"/>
  <dataValidations count="1">
    <dataValidation type="list" allowBlank="1" showInputMessage="1" showErrorMessage="1" sqref="E27:T30 J35:J36" xr:uid="{F4B20B56-1452-455A-9A4F-5A49F665B99F}">
      <formula1>INDIRECT($G$26)</formula1>
    </dataValidation>
  </dataValidation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FC63B-6CC0-4295-8102-2DE1FBECD67B}">
  <dimension ref="B3:U18"/>
  <sheetViews>
    <sheetView workbookViewId="0">
      <selection activeCell="D36" sqref="D36"/>
    </sheetView>
  </sheetViews>
  <sheetFormatPr defaultColWidth="8.8984375" defaultRowHeight="15.6"/>
  <cols>
    <col min="1" max="4" width="8.8984375" style="32"/>
    <col min="5" max="5" width="10" style="32" bestFit="1" customWidth="1"/>
    <col min="6" max="6" width="8.8984375" style="32"/>
    <col min="7" max="7" width="8.8984375" style="32" customWidth="1"/>
    <col min="8" max="16384" width="8.8984375" style="32"/>
  </cols>
  <sheetData>
    <row r="3" spans="2:21" ht="34.200000000000003" customHeight="1">
      <c r="B3" s="408" t="s">
        <v>65</v>
      </c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</row>
    <row r="4" spans="2:21">
      <c r="R4" s="32" t="str">
        <f>Front!F45</f>
        <v>No</v>
      </c>
      <c r="S4" s="158" t="s">
        <v>323</v>
      </c>
      <c r="U4" s="32">
        <f>IF(R4="Yes", 1, 0)</f>
        <v>0</v>
      </c>
    </row>
    <row r="5" spans="2:21">
      <c r="C5" s="15" t="s">
        <v>0</v>
      </c>
      <c r="D5" s="362" t="s">
        <v>1</v>
      </c>
      <c r="E5" s="362"/>
      <c r="F5" s="362"/>
      <c r="G5" s="15" t="s">
        <v>2</v>
      </c>
      <c r="Q5" s="142"/>
    </row>
    <row r="6" spans="2:21" ht="18">
      <c r="C6" s="32" t="s">
        <v>73</v>
      </c>
      <c r="E6" s="32">
        <v>1.2</v>
      </c>
      <c r="G6" s="32" t="s">
        <v>67</v>
      </c>
      <c r="Q6" s="85"/>
      <c r="R6" s="85"/>
    </row>
    <row r="7" spans="2:21" ht="18">
      <c r="C7" s="32" t="s">
        <v>74</v>
      </c>
      <c r="E7" s="32">
        <v>5.2</v>
      </c>
      <c r="G7" s="32" t="s">
        <v>66</v>
      </c>
      <c r="O7" s="84"/>
      <c r="Q7" s="88"/>
      <c r="R7" s="88"/>
    </row>
    <row r="8" spans="2:21" s="35" customFormat="1" ht="16.2" customHeight="1">
      <c r="C8" s="33" t="s">
        <v>75</v>
      </c>
      <c r="D8" s="33"/>
      <c r="E8" s="33">
        <v>40</v>
      </c>
      <c r="F8" s="33"/>
      <c r="G8" s="34" t="s">
        <v>68</v>
      </c>
      <c r="H8" s="36" t="s">
        <v>69</v>
      </c>
    </row>
    <row r="9" spans="2:21" s="35" customFormat="1" ht="16.2" customHeight="1">
      <c r="C9" s="33"/>
      <c r="D9" s="33"/>
      <c r="E9" s="33"/>
      <c r="F9" s="33"/>
      <c r="G9" s="34"/>
      <c r="H9" s="36"/>
      <c r="S9" s="143"/>
    </row>
    <row r="10" spans="2:21" s="35" customFormat="1" ht="16.2" customHeight="1">
      <c r="C10" s="33" t="s">
        <v>61</v>
      </c>
      <c r="D10" s="33"/>
      <c r="E10" s="37" t="str">
        <f>Front!F49</f>
        <v>NA</v>
      </c>
      <c r="F10" s="33"/>
      <c r="G10" s="34" t="s">
        <v>67</v>
      </c>
      <c r="H10" s="36"/>
      <c r="S10" s="143"/>
    </row>
    <row r="11" spans="2:21" ht="18">
      <c r="C11" s="33" t="s">
        <v>62</v>
      </c>
      <c r="D11" s="33"/>
      <c r="E11" s="37" t="str">
        <f>Front!F50</f>
        <v>NA</v>
      </c>
      <c r="G11" s="32" t="s">
        <v>67</v>
      </c>
    </row>
    <row r="12" spans="2:21">
      <c r="C12" s="33" t="s">
        <v>70</v>
      </c>
      <c r="D12" s="33"/>
      <c r="E12" s="39">
        <f>E6-E7*E8*0.001</f>
        <v>0.99199999999999999</v>
      </c>
      <c r="G12" s="32" t="s">
        <v>67</v>
      </c>
    </row>
    <row r="13" spans="2:21">
      <c r="C13" s="32" t="s">
        <v>71</v>
      </c>
      <c r="E13" s="38" t="e">
        <f>ROUND(1000/E7*(E12-E6*(E10-E12)/(E11-E6)),2)</f>
        <v>#VALUE!</v>
      </c>
      <c r="G13" s="34" t="s">
        <v>68</v>
      </c>
    </row>
    <row r="14" spans="2:21">
      <c r="C14" s="32" t="s">
        <v>72</v>
      </c>
      <c r="E14" s="38" t="e">
        <f>ROUND(E13*(E11/E6-1),2)</f>
        <v>#VALUE!</v>
      </c>
      <c r="G14" s="34" t="s">
        <v>68</v>
      </c>
    </row>
    <row r="15" spans="2:21" ht="18">
      <c r="C15" s="33" t="s">
        <v>61</v>
      </c>
      <c r="E15" s="38" t="e">
        <f>ROUND(E6*(1+Front!G52/Front!G53),2)</f>
        <v>#VALUE!</v>
      </c>
      <c r="G15" s="32" t="s">
        <v>67</v>
      </c>
    </row>
    <row r="16" spans="2:21" ht="18">
      <c r="C16" s="33" t="s">
        <v>62</v>
      </c>
      <c r="E16" s="38" t="e">
        <f>ROUND(E12+1000*Front!G52*(E12/Front!G53/1000-E7*0.000001),2)</f>
        <v>#VALUE!</v>
      </c>
      <c r="G16" s="32" t="s">
        <v>67</v>
      </c>
    </row>
    <row r="18" spans="3:17" ht="18">
      <c r="C18" s="32" t="s">
        <v>80</v>
      </c>
      <c r="E18" s="42">
        <f>(Front!F56-Front!F55)/E7*1000-E8</f>
        <v>0</v>
      </c>
      <c r="G18" s="34" t="s">
        <v>68</v>
      </c>
      <c r="Q18" s="142"/>
    </row>
  </sheetData>
  <mergeCells count="2">
    <mergeCell ref="B3:M3"/>
    <mergeCell ref="D5:F5"/>
  </mergeCells>
  <phoneticPr fontId="18" type="noConversion"/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Visio.Drawing.15" shapeId="7169" r:id="rId4">
          <objectPr defaultSize="0" autoPict="0" r:id="rId5">
            <anchor moveWithCells="1">
              <from>
                <xdr:col>8</xdr:col>
                <xdr:colOff>38100</xdr:colOff>
                <xdr:row>5</xdr:row>
                <xdr:rowOff>38100</xdr:rowOff>
              </from>
              <to>
                <xdr:col>13</xdr:col>
                <xdr:colOff>7620</xdr:colOff>
                <xdr:row>12</xdr:row>
                <xdr:rowOff>175260</xdr:rowOff>
              </to>
            </anchor>
          </objectPr>
        </oleObject>
      </mc:Choice>
      <mc:Fallback>
        <oleObject progId="Visio.Drawing.15" shapeId="7169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6C736-A7B4-48BA-A3AE-285EF0D831CA}">
  <dimension ref="A1:Q135"/>
  <sheetViews>
    <sheetView zoomScale="85" zoomScaleNormal="85" workbookViewId="0">
      <selection activeCell="A13" sqref="A13"/>
    </sheetView>
  </sheetViews>
  <sheetFormatPr defaultColWidth="9" defaultRowHeight="15.6"/>
  <cols>
    <col min="1" max="2" width="12.59765625" style="64" customWidth="1"/>
    <col min="3" max="3" width="12.59765625" style="32" customWidth="1"/>
    <col min="4" max="6" width="12.59765625" style="64" customWidth="1"/>
    <col min="7" max="7" width="10.59765625" style="64" customWidth="1"/>
    <col min="8" max="9" width="11.8984375" style="64" bestFit="1" customWidth="1"/>
    <col min="10" max="10" width="12.59765625" style="64" bestFit="1" customWidth="1"/>
    <col min="11" max="11" width="12.09765625" style="64" bestFit="1" customWidth="1"/>
    <col min="12" max="12" width="12.59765625" style="64" bestFit="1" customWidth="1"/>
    <col min="13" max="13" width="12.5" style="64" bestFit="1" customWidth="1"/>
    <col min="14" max="14" width="12.09765625" style="64" bestFit="1" customWidth="1"/>
    <col min="15" max="15" width="14.09765625" style="64" bestFit="1" customWidth="1"/>
    <col min="16" max="16384" width="9" style="64"/>
  </cols>
  <sheetData>
    <row r="1" spans="1:16">
      <c r="A1" s="241"/>
      <c r="B1" s="241"/>
      <c r="C1" s="242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</row>
    <row r="2" spans="1:16" ht="15.75" customHeight="1">
      <c r="A2" s="241"/>
      <c r="B2" s="241"/>
      <c r="C2" s="249">
        <f>Efficiency/100</f>
        <v>0.91</v>
      </c>
      <c r="D2" s="135" t="s">
        <v>260</v>
      </c>
      <c r="E2" s="135" t="s">
        <v>393</v>
      </c>
      <c r="F2" s="241"/>
      <c r="G2" s="241"/>
      <c r="H2" s="241"/>
      <c r="I2" s="241"/>
      <c r="J2" s="241"/>
      <c r="K2" s="241"/>
      <c r="L2" s="241"/>
      <c r="M2" s="241"/>
      <c r="N2" s="241"/>
    </row>
    <row r="3" spans="1:16" ht="15.75" customHeight="1">
      <c r="A3" s="241"/>
      <c r="B3" s="241"/>
      <c r="C3" s="289">
        <f>Dp/Effy</f>
        <v>0.11386571572086376</v>
      </c>
      <c r="D3" s="135" t="s">
        <v>260</v>
      </c>
      <c r="E3" s="135" t="s">
        <v>325</v>
      </c>
      <c r="F3" s="241"/>
      <c r="G3" s="241"/>
      <c r="H3" s="241"/>
      <c r="I3" s="241"/>
      <c r="J3" s="241"/>
      <c r="K3" s="241"/>
      <c r="L3" s="241"/>
      <c r="M3" s="241"/>
      <c r="N3" s="241"/>
    </row>
    <row r="4" spans="1:16" ht="16.5" customHeight="1">
      <c r="A4" s="241"/>
      <c r="B4" s="241"/>
      <c r="F4" s="241"/>
      <c r="G4" s="241"/>
      <c r="H4" s="241"/>
      <c r="I4" s="241"/>
      <c r="J4" s="241"/>
      <c r="K4" s="241"/>
      <c r="L4" s="241"/>
      <c r="M4" s="241"/>
      <c r="N4" s="241"/>
    </row>
    <row r="5" spans="1:16">
      <c r="A5" s="241"/>
      <c r="B5" s="241"/>
      <c r="C5" s="245">
        <f>Co_p</f>
        <v>7.6327999999999997E-4</v>
      </c>
      <c r="D5" s="246" t="s">
        <v>225</v>
      </c>
      <c r="E5" s="135" t="s">
        <v>389</v>
      </c>
      <c r="F5"/>
      <c r="G5" s="241"/>
      <c r="H5" s="241"/>
      <c r="I5" s="241"/>
      <c r="J5" s="241"/>
      <c r="K5" s="241"/>
      <c r="L5" s="241"/>
      <c r="M5" s="241"/>
      <c r="N5" s="241"/>
    </row>
    <row r="6" spans="1:16">
      <c r="A6" s="241"/>
      <c r="B6" s="241"/>
      <c r="C6" s="245">
        <f>ESR_Co/1000</f>
        <v>2.3999999999999998E-4</v>
      </c>
      <c r="D6" s="196" t="s">
        <v>224</v>
      </c>
      <c r="E6" s="135" t="s">
        <v>390</v>
      </c>
      <c r="F6" s="241"/>
      <c r="G6" s="241"/>
      <c r="H6" s="241"/>
      <c r="I6" s="241"/>
      <c r="J6" s="241"/>
      <c r="K6" s="241"/>
      <c r="L6" s="241"/>
      <c r="M6" s="241"/>
      <c r="N6" s="241"/>
    </row>
    <row r="7" spans="1:16">
      <c r="A7" s="241"/>
      <c r="B7" s="241"/>
      <c r="C7" s="245">
        <f>ESLp</f>
        <v>7.6923076923076924E-11</v>
      </c>
      <c r="D7" s="135" t="s">
        <v>223</v>
      </c>
      <c r="E7" s="135" t="s">
        <v>392</v>
      </c>
      <c r="F7" s="241"/>
      <c r="G7" s="241"/>
      <c r="H7" s="241"/>
      <c r="I7" s="241"/>
      <c r="J7" s="241"/>
      <c r="K7" s="241"/>
      <c r="L7" s="241"/>
      <c r="M7" s="241"/>
      <c r="N7" s="241"/>
    </row>
    <row r="8" spans="1:16">
      <c r="A8" s="241"/>
      <c r="B8" s="241"/>
      <c r="K8" s="241"/>
      <c r="L8" s="241"/>
      <c r="M8" s="241"/>
      <c r="N8" s="241"/>
      <c r="O8" s="86"/>
    </row>
    <row r="9" spans="1:16">
      <c r="A9" s="241"/>
      <c r="B9" s="241"/>
      <c r="K9" s="241"/>
      <c r="L9" s="241"/>
      <c r="M9" s="241"/>
      <c r="N9" s="241"/>
    </row>
    <row r="10" spans="1:16">
      <c r="A10" s="241"/>
      <c r="B10" s="241"/>
      <c r="C10" s="244" t="s">
        <v>411</v>
      </c>
      <c r="D10" s="241"/>
      <c r="E10" s="241"/>
      <c r="F10" s="241"/>
      <c r="G10" s="241"/>
      <c r="H10" s="241"/>
      <c r="I10" s="241"/>
      <c r="J10" s="241"/>
      <c r="K10" s="241"/>
      <c r="L10" s="241"/>
      <c r="M10" s="241"/>
      <c r="N10" s="241"/>
      <c r="O10" s="86"/>
    </row>
    <row r="11" spans="1:16">
      <c r="A11" s="241"/>
      <c r="B11" s="241"/>
      <c r="C11" s="300"/>
      <c r="D11" s="301"/>
      <c r="E11" s="246"/>
      <c r="F11" s="135"/>
      <c r="G11" s="140" t="s">
        <v>383</v>
      </c>
      <c r="H11" s="140" t="s">
        <v>384</v>
      </c>
      <c r="I11" s="140" t="s">
        <v>385</v>
      </c>
      <c r="J11" s="140" t="s">
        <v>386</v>
      </c>
      <c r="K11" s="241"/>
      <c r="L11" s="241"/>
      <c r="M11" s="241"/>
      <c r="N11" s="241"/>
      <c r="O11" s="241"/>
      <c r="P11" s="241"/>
    </row>
    <row r="12" spans="1:16">
      <c r="A12" s="241"/>
      <c r="B12" s="241"/>
      <c r="C12" s="148">
        <f>Np/(Dp*(1-Dp))</f>
        <v>10.766446931956096</v>
      </c>
      <c r="D12" s="135"/>
      <c r="E12" s="246"/>
      <c r="F12" s="246"/>
      <c r="G12" s="140">
        <f>IF(Dp&gt;1/Np,1,0)</f>
        <v>0</v>
      </c>
      <c r="H12" s="140">
        <f>IF(Dp&gt;2/Np,1,0)</f>
        <v>0</v>
      </c>
      <c r="I12" s="140">
        <f>IF(Dp&gt;3/Np,1,0)</f>
        <v>0</v>
      </c>
      <c r="J12" s="140">
        <f>G12+H12+I12</f>
        <v>0</v>
      </c>
      <c r="K12" s="241"/>
      <c r="L12" s="241"/>
      <c r="M12" s="241"/>
      <c r="N12" s="241"/>
      <c r="O12" s="241"/>
      <c r="P12" s="241"/>
    </row>
    <row r="13" spans="1:16">
      <c r="A13" s="241"/>
      <c r="B13" s="241"/>
      <c r="C13" s="148">
        <f>Dp-J12/Np</f>
        <v>0.10361780130598602</v>
      </c>
      <c r="D13" s="135"/>
      <c r="E13" s="246"/>
      <c r="F13" s="246"/>
      <c r="G13" s="246"/>
      <c r="H13" s="246"/>
      <c r="I13" s="246"/>
      <c r="J13" s="246"/>
      <c r="K13" s="241"/>
      <c r="L13" s="241"/>
      <c r="M13" s="241"/>
      <c r="N13" s="241"/>
      <c r="O13" s="241"/>
      <c r="P13" s="241"/>
    </row>
    <row r="14" spans="1:16">
      <c r="A14" s="241"/>
      <c r="B14" s="241"/>
      <c r="C14" s="148">
        <f>(1+J12)/Np-Dp</f>
        <v>0.89638219869401392</v>
      </c>
      <c r="D14" s="135"/>
      <c r="E14" s="246"/>
      <c r="F14" s="246"/>
      <c r="G14" s="246"/>
      <c r="H14" s="246"/>
      <c r="I14" s="246"/>
      <c r="J14" s="246"/>
      <c r="K14" s="241"/>
      <c r="L14" s="241"/>
      <c r="M14" s="241"/>
      <c r="N14" s="241"/>
      <c r="O14" s="241"/>
      <c r="P14" s="241"/>
    </row>
    <row r="15" spans="1:16">
      <c r="A15" s="241"/>
      <c r="B15" s="241"/>
      <c r="C15" s="302">
        <f>IF(Np=1,1,ABS(C12*C13*C14))</f>
        <v>1</v>
      </c>
      <c r="D15" s="135" t="s">
        <v>387</v>
      </c>
      <c r="E15" s="246"/>
      <c r="F15" s="246"/>
      <c r="G15" s="246"/>
      <c r="H15" s="246"/>
      <c r="I15" s="246"/>
      <c r="J15" s="246"/>
      <c r="K15" s="241"/>
      <c r="L15" s="241"/>
      <c r="M15" s="241"/>
      <c r="N15" s="241"/>
      <c r="O15" s="241"/>
      <c r="P15" s="241"/>
    </row>
    <row r="16" spans="1:16">
      <c r="A16" s="241"/>
      <c r="B16" s="241"/>
      <c r="C16" s="258"/>
      <c r="D16" s="241"/>
      <c r="E16" s="241"/>
      <c r="F16" s="241"/>
      <c r="G16" s="241"/>
      <c r="H16" s="241"/>
      <c r="I16" s="241"/>
      <c r="J16" s="241"/>
      <c r="K16" s="241"/>
      <c r="L16" s="241"/>
      <c r="M16" s="241"/>
      <c r="N16" s="241"/>
      <c r="O16" s="241"/>
    </row>
    <row r="17" spans="1:16">
      <c r="A17" s="241"/>
      <c r="B17" s="241"/>
      <c r="C17" s="242"/>
      <c r="D17" s="241"/>
      <c r="E17" s="241"/>
      <c r="F17" s="241"/>
      <c r="G17" s="241"/>
      <c r="H17" s="241"/>
      <c r="I17" s="241"/>
      <c r="J17" s="241"/>
      <c r="K17" s="241"/>
      <c r="L17" s="241"/>
      <c r="M17" s="241"/>
      <c r="N17" s="241"/>
      <c r="O17" s="241"/>
    </row>
    <row r="18" spans="1:16">
      <c r="A18" s="241"/>
      <c r="B18" s="241"/>
      <c r="C18" s="244" t="s">
        <v>427</v>
      </c>
      <c r="I18" s="241"/>
      <c r="J18" s="255"/>
      <c r="K18" s="266"/>
      <c r="L18" s="241"/>
      <c r="M18" s="241"/>
      <c r="N18" s="241"/>
      <c r="O18" s="241"/>
    </row>
    <row r="19" spans="1:16">
      <c r="A19" s="241"/>
      <c r="B19" s="241"/>
      <c r="C19" s="243"/>
      <c r="G19" s="145"/>
      <c r="I19" s="241"/>
      <c r="J19" s="255"/>
      <c r="K19" s="255"/>
      <c r="L19" s="241"/>
      <c r="M19" s="241"/>
      <c r="N19" s="241"/>
      <c r="O19" s="241"/>
    </row>
    <row r="20" spans="1:16">
      <c r="A20" s="241"/>
      <c r="B20" s="241"/>
      <c r="C20" s="249" t="s">
        <v>428</v>
      </c>
      <c r="D20" s="135"/>
      <c r="E20" s="149"/>
      <c r="F20" s="32" t="s">
        <v>425</v>
      </c>
      <c r="G20" s="140" t="s">
        <v>431</v>
      </c>
      <c r="H20" s="32" t="s">
        <v>107</v>
      </c>
      <c r="I20" s="241"/>
      <c r="J20" s="255"/>
      <c r="L20" s="241"/>
      <c r="M20" s="241"/>
      <c r="N20" s="241"/>
      <c r="O20" s="241"/>
      <c r="P20" s="241"/>
    </row>
    <row r="21" spans="1:16">
      <c r="A21" s="241"/>
      <c r="B21" s="241"/>
      <c r="C21" s="140">
        <f>IF(Ton_p/2&gt;(ESRp*Co_p),1,0)</f>
        <v>0</v>
      </c>
      <c r="D21" s="135" t="s">
        <v>429</v>
      </c>
      <c r="E21" s="149"/>
      <c r="F21" s="32">
        <v>0</v>
      </c>
      <c r="G21" s="270">
        <f>Delta_IL*mI_L*ESRp</f>
        <v>2.4273694529942658E-3</v>
      </c>
      <c r="H21" s="270">
        <f>2*H26</f>
        <v>8.388675288360712E-3</v>
      </c>
      <c r="I21" s="241"/>
      <c r="J21" s="271">
        <f>Ton_p/2-ESRp*Co_p</f>
        <v>-7.9569398694013948E-8</v>
      </c>
      <c r="K21" s="272" t="s">
        <v>432</v>
      </c>
      <c r="L21" s="241"/>
      <c r="M21" s="241"/>
      <c r="N21" s="241"/>
      <c r="O21" s="241"/>
      <c r="P21" s="241"/>
    </row>
    <row r="22" spans="1:16">
      <c r="A22" s="241"/>
      <c r="B22" s="241"/>
      <c r="C22" s="140">
        <f>IF(Toff_p/2&gt;(ESRp*Co_p),1,0)</f>
        <v>1</v>
      </c>
      <c r="D22" s="135" t="s">
        <v>430</v>
      </c>
      <c r="E22" s="149"/>
      <c r="F22" s="32">
        <v>1</v>
      </c>
      <c r="G22" s="270">
        <f>Delta_IL*mI_L/2/Co_p/Ton_p*((Ton_p/2)^2-(ESRp*Co_p)^2)+Delta_IL*mI_L*ESRp^2*Co_p/Ton_p+Delta_IL*mI_L*ESRp/2</f>
        <v>2.6297825202588518E-3</v>
      </c>
      <c r="H22" s="270">
        <f>H26</f>
        <v>4.194337644180356E-3</v>
      </c>
      <c r="I22" s="241"/>
      <c r="J22" s="273">
        <f>(-360*J21/Tp+90)*PI()/180</f>
        <v>1.8207709651825683</v>
      </c>
      <c r="K22" s="272" t="s">
        <v>424</v>
      </c>
      <c r="L22" s="241"/>
      <c r="M22" s="241"/>
      <c r="N22" s="241"/>
      <c r="O22" s="241"/>
      <c r="P22" s="241"/>
    </row>
    <row r="23" spans="1:16">
      <c r="A23" s="241"/>
      <c r="B23" s="241"/>
      <c r="C23" s="140">
        <f>C21+C22</f>
        <v>1</v>
      </c>
      <c r="D23" s="135" t="s">
        <v>386</v>
      </c>
      <c r="E23" s="149"/>
      <c r="F23" s="32">
        <v>2</v>
      </c>
      <c r="G23" s="270">
        <f>Delta_IL*mI_L/8/Fsw_s/Co_p+(Delta_IL*mI_L*ESRp^2*Co_p/2)*(Fsw_s/Dp/(1-Dp))</f>
        <v>4.5095499532365685E-3</v>
      </c>
      <c r="H23" s="270">
        <f>IF(J24&gt;G23/2,J24-G23/2,0)</f>
        <v>4.1242562975955747E-3</v>
      </c>
      <c r="I23" s="241"/>
      <c r="J23" s="274">
        <f>G23/2*SIN(J22)</f>
        <v>2.1846936300335025E-3</v>
      </c>
      <c r="K23" s="272"/>
      <c r="L23" s="241"/>
      <c r="M23" s="241"/>
      <c r="N23" s="241"/>
      <c r="O23" s="241"/>
      <c r="P23" s="241"/>
    </row>
    <row r="24" spans="1:16">
      <c r="A24" s="241"/>
      <c r="B24" s="241"/>
      <c r="C24" s="140">
        <f>IF(C23=0,0,IF(C23=2,2,IF(C21=1,1,3)))</f>
        <v>3</v>
      </c>
      <c r="D24" s="135" t="s">
        <v>426</v>
      </c>
      <c r="E24" s="149"/>
      <c r="F24" s="32">
        <v>3</v>
      </c>
      <c r="G24" s="270">
        <f>Delta_IL*mI_L/2/Co_p/Toff_p*((Toff_p/2)^2-(ESRp*Co_p)^2)+Delta_IL*mI_L*ESRp^2*Co_p/Toff_p+Delta_IL*mI_L*ESRp/2</f>
        <v>4.3071368859719829E-3</v>
      </c>
      <c r="H24" s="270">
        <f>H26</f>
        <v>4.194337644180356E-3</v>
      </c>
      <c r="I24" s="241"/>
      <c r="J24" s="274">
        <f>J23+H26</f>
        <v>6.3790312742138585E-3</v>
      </c>
      <c r="K24" s="275"/>
      <c r="L24" s="241"/>
      <c r="M24" s="241"/>
      <c r="N24" s="241"/>
      <c r="O24" s="241"/>
      <c r="P24" s="241"/>
    </row>
    <row r="25" spans="1:16">
      <c r="A25" s="241"/>
      <c r="B25" s="241"/>
      <c r="G25" s="268"/>
      <c r="I25" s="241"/>
      <c r="J25" s="255"/>
      <c r="K25" s="255"/>
      <c r="L25" s="241"/>
      <c r="M25" s="241"/>
      <c r="N25" s="241"/>
      <c r="O25" s="241"/>
      <c r="P25" s="241"/>
    </row>
    <row r="26" spans="1:16">
      <c r="A26" s="241"/>
      <c r="B26" s="241"/>
      <c r="H26" s="269">
        <f>Vi*ESLp/(ESLp+Lp)</f>
        <v>4.194337644180356E-3</v>
      </c>
      <c r="I26" s="241"/>
      <c r="J26" s="255"/>
      <c r="K26" s="255"/>
      <c r="L26" s="146"/>
      <c r="M26"/>
      <c r="N26"/>
      <c r="O26"/>
      <c r="P26" s="241"/>
    </row>
    <row r="27" spans="1:16">
      <c r="A27" s="241"/>
      <c r="B27" s="241"/>
      <c r="K27" s="149"/>
      <c r="L27" s="149"/>
      <c r="M27"/>
      <c r="N27"/>
      <c r="O27"/>
      <c r="P27" s="241"/>
    </row>
    <row r="28" spans="1:16">
      <c r="A28" s="241"/>
      <c r="B28" s="241"/>
      <c r="C28" s="247"/>
      <c r="D28" s="246"/>
      <c r="E28" s="246"/>
      <c r="F28" s="246"/>
      <c r="G28" s="246"/>
      <c r="H28" s="246"/>
      <c r="I28" s="246"/>
      <c r="J28" s="246"/>
      <c r="K28" s="146"/>
      <c r="L28" s="146"/>
      <c r="M28"/>
      <c r="N28"/>
      <c r="O28"/>
      <c r="P28" s="241"/>
    </row>
    <row r="29" spans="1:16">
      <c r="A29" s="241"/>
      <c r="B29" s="241"/>
      <c r="C29" s="244" t="s">
        <v>213</v>
      </c>
      <c r="D29" s="241"/>
      <c r="E29" s="241"/>
      <c r="H29" s="241"/>
      <c r="I29" s="241"/>
      <c r="J29" s="255"/>
      <c r="K29" s="146"/>
      <c r="L29" s="146"/>
      <c r="M29"/>
      <c r="N29"/>
      <c r="O29"/>
      <c r="P29" s="241"/>
    </row>
    <row r="30" spans="1:16">
      <c r="A30" s="241"/>
      <c r="B30" s="241"/>
      <c r="C30" s="243" t="s">
        <v>394</v>
      </c>
      <c r="D30" s="241"/>
      <c r="E30" s="241"/>
      <c r="L30" s="146"/>
      <c r="M30"/>
      <c r="N30"/>
      <c r="O30"/>
      <c r="P30" s="241"/>
    </row>
    <row r="31" spans="1:16">
      <c r="A31" s="241"/>
      <c r="B31" s="241"/>
      <c r="C31" s="242"/>
      <c r="D31" s="241"/>
      <c r="E31" s="241"/>
      <c r="L31"/>
      <c r="M31"/>
      <c r="N31"/>
      <c r="O31"/>
      <c r="P31" s="241"/>
    </row>
    <row r="32" spans="1:16">
      <c r="A32" s="241"/>
      <c r="B32" s="241"/>
      <c r="C32" s="242"/>
      <c r="D32" s="250" t="s">
        <v>208</v>
      </c>
      <c r="E32" s="250" t="s">
        <v>209</v>
      </c>
      <c r="M32"/>
      <c r="N32"/>
      <c r="O32"/>
      <c r="P32" s="241"/>
    </row>
    <row r="33" spans="1:16">
      <c r="A33" s="241"/>
      <c r="B33" s="241"/>
      <c r="D33" s="251">
        <f>Vo_Ripple*Vo*10</f>
        <v>12</v>
      </c>
      <c r="E33" s="233"/>
      <c r="F33" s="246" t="s">
        <v>13</v>
      </c>
      <c r="G33" s="246" t="s">
        <v>395</v>
      </c>
      <c r="M33"/>
      <c r="O33"/>
      <c r="P33" s="241"/>
    </row>
    <row r="34" spans="1:16">
      <c r="A34" s="241"/>
      <c r="B34" s="241"/>
      <c r="D34" s="251">
        <f>Vopp/3</f>
        <v>4</v>
      </c>
      <c r="E34" s="409">
        <f>1000*VLOOKUP(C24,F21:G24,2)</f>
        <v>4.3071368859719827</v>
      </c>
      <c r="F34" s="246" t="s">
        <v>15</v>
      </c>
      <c r="G34" s="246" t="s">
        <v>398</v>
      </c>
      <c r="L34" s="285"/>
      <c r="O34"/>
      <c r="P34" s="241"/>
    </row>
    <row r="35" spans="1:16">
      <c r="A35" s="241"/>
      <c r="B35" s="241"/>
      <c r="D35" s="251">
        <f>Vopp/3</f>
        <v>4</v>
      </c>
      <c r="E35" s="409"/>
      <c r="F35" s="246" t="s">
        <v>15</v>
      </c>
      <c r="G35" s="246" t="s">
        <v>399</v>
      </c>
      <c r="O35"/>
      <c r="P35" s="241"/>
    </row>
    <row r="36" spans="1:16">
      <c r="A36" s="241"/>
      <c r="B36" s="149"/>
      <c r="D36" s="251">
        <f>Vopp/3</f>
        <v>4</v>
      </c>
      <c r="E36" s="165">
        <f>1000*VLOOKUP(C24,F21:H24,3)</f>
        <v>4.1943376441803562</v>
      </c>
      <c r="F36" s="246" t="s">
        <v>15</v>
      </c>
      <c r="G36" s="246" t="s">
        <v>396</v>
      </c>
      <c r="L36" s="285"/>
      <c r="O36"/>
      <c r="P36" s="241"/>
    </row>
    <row r="37" spans="1:16">
      <c r="A37" s="241"/>
      <c r="B37" s="241"/>
      <c r="D37" s="246"/>
      <c r="E37" s="132">
        <f>E36+E34</f>
        <v>8.5014745301523398</v>
      </c>
      <c r="F37" s="246" t="s">
        <v>13</v>
      </c>
      <c r="G37" s="246" t="s">
        <v>397</v>
      </c>
      <c r="L37"/>
      <c r="O37"/>
      <c r="P37" s="241"/>
    </row>
    <row r="38" spans="1:16">
      <c r="A38" s="241"/>
      <c r="B38" s="241"/>
      <c r="L38"/>
      <c r="M38"/>
      <c r="N38"/>
      <c r="O38"/>
      <c r="P38" s="241"/>
    </row>
    <row r="39" spans="1:16">
      <c r="D39" s="277">
        <f>Lp*D36/1000/(Vi-D36/1000)</f>
        <v>7.3357785928642884E-11</v>
      </c>
      <c r="F39" s="158" t="s">
        <v>223</v>
      </c>
      <c r="G39" s="158" t="s">
        <v>107</v>
      </c>
      <c r="L39"/>
      <c r="M39"/>
      <c r="N39"/>
      <c r="O39"/>
    </row>
    <row r="40" spans="1:16">
      <c r="D40" s="277">
        <f>D35*0.001/Delta_IL/mI_L</f>
        <v>3.9548985788537391E-4</v>
      </c>
      <c r="F40" s="252" t="s">
        <v>224</v>
      </c>
      <c r="G40" s="158" t="s">
        <v>104</v>
      </c>
      <c r="L40"/>
      <c r="M40"/>
      <c r="N40"/>
      <c r="O40"/>
    </row>
    <row r="41" spans="1:16">
      <c r="C41" s="282">
        <f>1000000*D41</f>
        <v>632.12746171725678</v>
      </c>
      <c r="D41" s="280">
        <f>Delta_IL*mI_L/8/Fsw/D34</f>
        <v>6.3212746171725678E-4</v>
      </c>
      <c r="F41" s="158" t="s">
        <v>225</v>
      </c>
      <c r="G41" s="158" t="s">
        <v>101</v>
      </c>
      <c r="M41" s="241"/>
      <c r="N41" s="241"/>
      <c r="O41" s="241"/>
    </row>
    <row r="42" spans="1:16">
      <c r="M42" s="241"/>
      <c r="N42" s="241"/>
      <c r="O42" s="241"/>
    </row>
    <row r="43" spans="1:16">
      <c r="H43" s="241"/>
      <c r="K43" s="149"/>
      <c r="L43" s="149"/>
      <c r="N43" s="87"/>
      <c r="O43" s="87"/>
    </row>
    <row r="44" spans="1:16">
      <c r="C44" s="244" t="s">
        <v>400</v>
      </c>
      <c r="D44" s="32"/>
      <c r="E44" s="32"/>
      <c r="F44" s="32"/>
      <c r="G44" s="32"/>
      <c r="H44" s="241"/>
      <c r="K44" s="149"/>
      <c r="L44" s="149"/>
      <c r="N44" s="87"/>
    </row>
    <row r="45" spans="1:16">
      <c r="C45" s="243" t="s">
        <v>412</v>
      </c>
      <c r="D45" s="32"/>
      <c r="E45" s="32"/>
      <c r="F45" s="32"/>
      <c r="G45" s="32"/>
      <c r="H45" s="241"/>
      <c r="K45" s="149"/>
      <c r="L45" s="149"/>
    </row>
    <row r="46" spans="1:16">
      <c r="C46" s="158" t="s">
        <v>439</v>
      </c>
      <c r="D46" s="32"/>
      <c r="E46" s="32"/>
      <c r="F46" s="32"/>
      <c r="G46" s="32"/>
      <c r="H46" s="256"/>
    </row>
    <row r="47" spans="1:16">
      <c r="H47" s="241"/>
    </row>
    <row r="48" spans="1:16">
      <c r="E48" s="64">
        <f>I_step</f>
        <v>15</v>
      </c>
      <c r="F48" s="64" t="s">
        <v>8</v>
      </c>
      <c r="G48" s="64" t="s">
        <v>402</v>
      </c>
    </row>
    <row r="49" spans="3:16">
      <c r="D49" s="32"/>
      <c r="E49" s="64">
        <f>I_step/I_sr/1000000</f>
        <v>3.0000000000000001E-6</v>
      </c>
      <c r="F49" s="64" t="s">
        <v>256</v>
      </c>
      <c r="G49" s="64" t="s">
        <v>407</v>
      </c>
      <c r="O49" s="241"/>
      <c r="P49" s="241"/>
    </row>
    <row r="50" spans="3:16">
      <c r="E50" s="253">
        <v>2.8000000000000002E-7</v>
      </c>
      <c r="F50" s="64" t="s">
        <v>256</v>
      </c>
      <c r="G50" s="64" t="s">
        <v>433</v>
      </c>
      <c r="O50" s="241"/>
      <c r="P50" s="241"/>
    </row>
    <row r="51" spans="3:16">
      <c r="E51" s="264">
        <f>Tp-Toffmin</f>
        <v>1.7199999999999998E-6</v>
      </c>
      <c r="F51" s="64" t="s">
        <v>256</v>
      </c>
      <c r="G51" s="64" t="s">
        <v>434</v>
      </c>
      <c r="H51" s="145"/>
    </row>
    <row r="53" spans="3:16">
      <c r="D53" s="250" t="s">
        <v>208</v>
      </c>
      <c r="E53" s="250" t="s">
        <v>209</v>
      </c>
    </row>
    <row r="54" spans="3:16">
      <c r="D54" s="251">
        <f>Vo_Transient*Vo*10-Vopp/2</f>
        <v>54</v>
      </c>
      <c r="E54" s="251">
        <f>Vo_Transient*Vo*10-E37/2</f>
        <v>55.749262734923832</v>
      </c>
      <c r="F54" s="241" t="s">
        <v>15</v>
      </c>
      <c r="G54" s="241" t="s">
        <v>401</v>
      </c>
      <c r="N54" s="87"/>
    </row>
    <row r="55" spans="3:16">
      <c r="D55" s="42">
        <f>D39*1000*I_step/E49</f>
        <v>0.36678892964321436</v>
      </c>
      <c r="E55" s="42">
        <f>ESLp*1000*I_step/E49</f>
        <v>0.38461538461538458</v>
      </c>
      <c r="F55" s="241" t="s">
        <v>15</v>
      </c>
      <c r="G55" s="241" t="s">
        <v>396</v>
      </c>
      <c r="K55"/>
      <c r="L55"/>
      <c r="M55"/>
      <c r="N55"/>
    </row>
    <row r="56" spans="3:16">
      <c r="D56" s="42">
        <f>I_step*D40*1000</f>
        <v>5.9323478682806092</v>
      </c>
      <c r="E56" s="42">
        <f>I_step*ESRp*1000</f>
        <v>3.6</v>
      </c>
      <c r="F56" s="241" t="s">
        <v>15</v>
      </c>
      <c r="G56" s="241" t="s">
        <v>399</v>
      </c>
      <c r="K56"/>
      <c r="L56"/>
      <c r="M56"/>
      <c r="N56"/>
    </row>
    <row r="57" spans="3:16">
      <c r="D57" s="42">
        <f>D54-D55-D56</f>
        <v>47.700863202076178</v>
      </c>
      <c r="E57" s="251">
        <f>IF(1000*D67/Co_p&lt;0,0.1,1000*D67/Co_p)</f>
        <v>43.17786940281372</v>
      </c>
      <c r="F57" s="64" t="s">
        <v>15</v>
      </c>
      <c r="G57" s="64" t="s">
        <v>398</v>
      </c>
      <c r="K57"/>
      <c r="L57"/>
      <c r="M57"/>
      <c r="N57"/>
    </row>
    <row r="58" spans="3:16">
      <c r="E58" s="233">
        <f>E55+E56+E57+E37/2</f>
        <v>51.413222052505276</v>
      </c>
      <c r="F58" s="64" t="s">
        <v>15</v>
      </c>
      <c r="G58" s="64" t="s">
        <v>391</v>
      </c>
      <c r="K58"/>
      <c r="L58"/>
      <c r="M58"/>
      <c r="N58"/>
    </row>
    <row r="60" spans="3:16">
      <c r="D60" s="64" t="s">
        <v>405</v>
      </c>
      <c r="J60" s="172"/>
    </row>
    <row r="61" spans="3:16">
      <c r="D61" s="278">
        <v>2E-8</v>
      </c>
      <c r="F61" s="64" t="s">
        <v>256</v>
      </c>
      <c r="G61" s="64" t="s">
        <v>403</v>
      </c>
      <c r="J61" s="172"/>
    </row>
    <row r="62" spans="3:16">
      <c r="D62" s="279">
        <f>(I_step+Delta_IL/2)*Lp/Np/Vo</f>
        <v>3.6771202771853106E-6</v>
      </c>
      <c r="F62" s="64" t="s">
        <v>256</v>
      </c>
      <c r="G62" s="64" t="s">
        <v>437</v>
      </c>
      <c r="J62" s="172"/>
    </row>
    <row r="63" spans="3:16">
      <c r="D63" s="188">
        <f>IF(D62&lt;t_Ioslew,1-Dp,1)</f>
        <v>1</v>
      </c>
      <c r="F63" s="64" t="s">
        <v>435</v>
      </c>
      <c r="G63" s="64" t="s">
        <v>438</v>
      </c>
    </row>
    <row r="64" spans="3:16">
      <c r="C64" s="288"/>
      <c r="D64" s="279">
        <f>D62/D63+IF(D63=1,D62,E49/D63)</f>
        <v>7.3542405543706211E-6</v>
      </c>
      <c r="F64" s="64" t="s">
        <v>256</v>
      </c>
      <c r="G64" s="64" t="s">
        <v>404</v>
      </c>
    </row>
    <row r="65" spans="1:13">
      <c r="D65" s="278">
        <f>I_step*t_Ioslew/2</f>
        <v>2.2500000000000001E-5</v>
      </c>
      <c r="F65" s="158" t="s">
        <v>101</v>
      </c>
      <c r="G65" s="64" t="s">
        <v>408</v>
      </c>
    </row>
    <row r="66" spans="1:13">
      <c r="D66" s="278">
        <f>I_step*(D64/2+D61)</f>
        <v>5.5456804157779658E-5</v>
      </c>
      <c r="F66" s="158" t="s">
        <v>101</v>
      </c>
      <c r="G66" s="64" t="s">
        <v>409</v>
      </c>
      <c r="K66" s="87"/>
    </row>
    <row r="67" spans="1:13">
      <c r="C67" s="254"/>
      <c r="D67" s="278">
        <f>D66-D65</f>
        <v>3.295680415777966E-5</v>
      </c>
      <c r="F67" s="158" t="s">
        <v>101</v>
      </c>
      <c r="G67" s="64" t="s">
        <v>406</v>
      </c>
      <c r="H67" s="241"/>
      <c r="I67" s="241"/>
      <c r="J67" s="241"/>
      <c r="K67" s="241"/>
      <c r="L67" s="241"/>
      <c r="M67" s="241"/>
    </row>
    <row r="68" spans="1:13">
      <c r="C68" s="282">
        <f>1000000*D68</f>
        <v>690.90582319577834</v>
      </c>
      <c r="D68" s="276">
        <f>1000*D67/D57</f>
        <v>6.9090582319577837E-4</v>
      </c>
      <c r="F68" s="64" t="s">
        <v>225</v>
      </c>
      <c r="G68" s="64" t="s">
        <v>215</v>
      </c>
      <c r="H68" s="241"/>
      <c r="I68" s="241"/>
      <c r="J68" s="241"/>
      <c r="K68" s="241"/>
      <c r="L68" s="241"/>
      <c r="M68" s="241"/>
    </row>
    <row r="69" spans="1:13">
      <c r="C69" s="282"/>
      <c r="D69" s="276"/>
      <c r="E69"/>
      <c r="H69" s="241"/>
      <c r="I69" s="241"/>
      <c r="J69" s="241"/>
      <c r="K69" s="241"/>
      <c r="L69" s="241"/>
      <c r="M69" s="241"/>
    </row>
    <row r="70" spans="1:13">
      <c r="D70" s="281">
        <f>1000000*MAX(D68,D41)</f>
        <v>690.90582319577834</v>
      </c>
      <c r="F70" s="64" t="s">
        <v>97</v>
      </c>
      <c r="G70" s="64" t="s">
        <v>410</v>
      </c>
      <c r="H70" s="241"/>
      <c r="I70" s="241"/>
      <c r="J70" s="267"/>
      <c r="K70" s="255"/>
      <c r="L70" s="255"/>
      <c r="M70" s="241"/>
    </row>
    <row r="71" spans="1:13">
      <c r="H71" s="241"/>
      <c r="I71" s="241"/>
      <c r="J71" s="267"/>
      <c r="K71" s="255"/>
      <c r="L71" s="255"/>
      <c r="M71" s="255"/>
    </row>
    <row r="72" spans="1:13" ht="15.75" customHeight="1">
      <c r="H72" s="241"/>
      <c r="I72" s="241"/>
      <c r="J72" s="267"/>
      <c r="K72" s="255"/>
      <c r="L72" s="255"/>
      <c r="M72" s="255"/>
    </row>
    <row r="73" spans="1:13">
      <c r="C73" s="244" t="s">
        <v>460</v>
      </c>
      <c r="H73" s="241"/>
      <c r="I73" s="241"/>
      <c r="J73" s="255"/>
      <c r="K73" s="255"/>
      <c r="L73" s="255"/>
      <c r="M73" s="255"/>
    </row>
    <row r="74" spans="1:13" ht="15.75" customHeight="1">
      <c r="D74" s="158" t="s">
        <v>441</v>
      </c>
      <c r="H74" s="241"/>
      <c r="I74" s="241"/>
      <c r="J74" s="284"/>
      <c r="K74" s="284"/>
      <c r="L74" s="284"/>
      <c r="M74" s="284"/>
    </row>
    <row r="75" spans="1:13">
      <c r="A75" s="145"/>
      <c r="D75" s="158" t="s">
        <v>461</v>
      </c>
      <c r="H75" s="241"/>
      <c r="I75" s="241"/>
      <c r="J75" s="284"/>
      <c r="K75" s="284"/>
      <c r="L75" s="284"/>
      <c r="M75" s="284"/>
    </row>
    <row r="76" spans="1:13">
      <c r="H76" s="241"/>
      <c r="I76"/>
      <c r="J76" s="284"/>
      <c r="K76" s="284"/>
      <c r="L76" s="284"/>
      <c r="M76" s="284"/>
    </row>
    <row r="77" spans="1:13">
      <c r="D77" s="64" t="s">
        <v>445</v>
      </c>
      <c r="H77"/>
      <c r="I77" s="241"/>
      <c r="J77" s="255"/>
      <c r="K77" s="255"/>
      <c r="L77" s="255"/>
      <c r="M77" s="255"/>
    </row>
    <row r="78" spans="1:13">
      <c r="D78" s="64" t="s">
        <v>446</v>
      </c>
      <c r="H78"/>
      <c r="I78" s="241"/>
      <c r="J78" s="255"/>
      <c r="K78" s="255"/>
      <c r="L78" s="255"/>
      <c r="M78" s="255"/>
    </row>
    <row r="79" spans="1:13">
      <c r="H79"/>
      <c r="I79" s="241"/>
      <c r="J79" s="255"/>
      <c r="K79" s="255"/>
      <c r="L79" s="255"/>
      <c r="M79" s="255"/>
    </row>
    <row r="80" spans="1:13" ht="15.75" customHeight="1">
      <c r="A80" s="287"/>
      <c r="B80" s="287"/>
      <c r="D80" s="250" t="s">
        <v>208</v>
      </c>
      <c r="E80" s="250" t="s">
        <v>209</v>
      </c>
    </row>
    <row r="81" spans="1:13">
      <c r="A81"/>
      <c r="B81"/>
      <c r="C81"/>
      <c r="E81" s="165">
        <f>Iomax/Np</f>
        <v>30</v>
      </c>
      <c r="F81" s="64" t="s">
        <v>8</v>
      </c>
      <c r="G81" s="64" t="s">
        <v>442</v>
      </c>
      <c r="H81"/>
      <c r="I81"/>
      <c r="J81"/>
      <c r="K81"/>
    </row>
    <row r="82" spans="1:13">
      <c r="A82"/>
      <c r="B82"/>
      <c r="C82"/>
      <c r="E82" s="165">
        <f>Iomax/Np+Delta_IL/2</f>
        <v>35.057019693738056</v>
      </c>
      <c r="F82" s="64" t="s">
        <v>8</v>
      </c>
      <c r="G82" s="64" t="s">
        <v>443</v>
      </c>
      <c r="H82"/>
      <c r="I82"/>
      <c r="J82"/>
      <c r="K82"/>
      <c r="L82" s="149"/>
      <c r="M82" s="149"/>
    </row>
    <row r="83" spans="1:13">
      <c r="A83"/>
      <c r="B83"/>
      <c r="E83" s="165">
        <f>Iomax/Np-Delta_IL/2</f>
        <v>24.942980306261944</v>
      </c>
      <c r="F83" s="64" t="s">
        <v>8</v>
      </c>
      <c r="G83" s="64" t="s">
        <v>444</v>
      </c>
      <c r="H83"/>
      <c r="I83"/>
      <c r="J83"/>
      <c r="K83"/>
      <c r="L83" s="149"/>
      <c r="M83" s="149"/>
    </row>
    <row r="84" spans="1:13">
      <c r="A84"/>
      <c r="B84"/>
      <c r="C84" s="243"/>
      <c r="D84"/>
      <c r="E84" s="165"/>
      <c r="H84"/>
      <c r="I84"/>
      <c r="J84"/>
      <c r="K84"/>
      <c r="L84"/>
      <c r="M84"/>
    </row>
    <row r="85" spans="1:13">
      <c r="A85"/>
      <c r="B85"/>
      <c r="C85"/>
      <c r="D85" s="290">
        <f>Vinpp/3</f>
        <v>80</v>
      </c>
      <c r="E85" s="290">
        <f>1000*E82*ESRcin</f>
        <v>13.146382385151771</v>
      </c>
      <c r="F85" s="135" t="s">
        <v>15</v>
      </c>
      <c r="G85" s="135" t="s">
        <v>451</v>
      </c>
      <c r="H85"/>
      <c r="I85"/>
      <c r="J85"/>
      <c r="K85"/>
      <c r="L85"/>
      <c r="M85"/>
    </row>
    <row r="86" spans="1:13">
      <c r="A86"/>
      <c r="B86"/>
      <c r="D86" s="290">
        <f>Vinpp*2/3</f>
        <v>160</v>
      </c>
      <c r="E86" s="290">
        <f>Iomax*Dp*(1-Dp)/Effy/Fsw/E90</f>
        <v>193.30909207146857</v>
      </c>
      <c r="F86" s="135" t="s">
        <v>15</v>
      </c>
      <c r="G86" s="135" t="s">
        <v>452</v>
      </c>
      <c r="L86"/>
      <c r="M86"/>
    </row>
    <row r="87" spans="1:13">
      <c r="A87"/>
      <c r="B87"/>
      <c r="E87" s="159">
        <f>1000*ESLcin*Delta_IL/Ton_p</f>
        <v>6.3445909090909094</v>
      </c>
      <c r="F87" s="64" t="s">
        <v>15</v>
      </c>
      <c r="G87" s="64" t="s">
        <v>450</v>
      </c>
      <c r="L87"/>
      <c r="M87"/>
    </row>
    <row r="88" spans="1:13">
      <c r="A88"/>
      <c r="B88"/>
      <c r="E88" s="131">
        <f>SUM(E85:E87)</f>
        <v>212.80006536571125</v>
      </c>
      <c r="F88" s="64" t="s">
        <v>15</v>
      </c>
      <c r="G88" s="64" t="s">
        <v>454</v>
      </c>
      <c r="L88"/>
      <c r="M88"/>
    </row>
    <row r="89" spans="1:13">
      <c r="A89"/>
      <c r="B89"/>
      <c r="E89" s="131"/>
      <c r="L89"/>
      <c r="M89"/>
    </row>
    <row r="90" spans="1:13">
      <c r="A90"/>
      <c r="B90"/>
      <c r="D90" s="292">
        <f>Iomax*Dp*(1-Dp)/Effy/Fsw/D86</f>
        <v>3.8275200230150774E-5</v>
      </c>
      <c r="E90" s="295">
        <f>Ccin/mI_C</f>
        <v>3.1680000000000002E-5</v>
      </c>
      <c r="F90" s="64" t="s">
        <v>225</v>
      </c>
      <c r="G90" s="64" t="s">
        <v>458</v>
      </c>
      <c r="L90"/>
      <c r="M90"/>
    </row>
    <row r="91" spans="1:13">
      <c r="A91"/>
      <c r="B91"/>
      <c r="K91"/>
      <c r="L91"/>
      <c r="M91"/>
    </row>
    <row r="92" spans="1:13">
      <c r="A92"/>
      <c r="B92"/>
      <c r="C92"/>
      <c r="D92" s="293">
        <f>mI_C*D90</f>
        <v>3.8275200230150774E-5</v>
      </c>
      <c r="E92" s="295">
        <f>Front!G64/1000000</f>
        <v>3.1680000000000002E-5</v>
      </c>
      <c r="F92" s="64" t="s">
        <v>225</v>
      </c>
      <c r="G92" s="64" t="s">
        <v>447</v>
      </c>
      <c r="H92"/>
      <c r="I92"/>
      <c r="J92" s="296"/>
      <c r="K92"/>
      <c r="L92"/>
      <c r="M92"/>
    </row>
    <row r="93" spans="1:13">
      <c r="A93"/>
      <c r="B93"/>
      <c r="C93"/>
      <c r="D93" s="293">
        <f>0.001*D85/dI_in</f>
        <v>2.6666666666666666E-3</v>
      </c>
      <c r="E93" s="292">
        <f>Front!G65/1000</f>
        <v>3.7500000000000001E-4</v>
      </c>
      <c r="F93" s="291" t="s">
        <v>224</v>
      </c>
      <c r="G93" s="64" t="s">
        <v>448</v>
      </c>
      <c r="H93"/>
      <c r="I93"/>
      <c r="J93"/>
      <c r="K93"/>
      <c r="L93" s="149"/>
      <c r="M93" s="149"/>
    </row>
    <row r="94" spans="1:13">
      <c r="A94"/>
      <c r="B94"/>
      <c r="C94"/>
      <c r="D94" s="292" t="s">
        <v>453</v>
      </c>
      <c r="E94" s="292">
        <f>Front!G66/1000000000</f>
        <v>1.3000000000000002E-10</v>
      </c>
      <c r="F94" s="64" t="s">
        <v>223</v>
      </c>
      <c r="G94" s="64" t="s">
        <v>449</v>
      </c>
      <c r="H94"/>
      <c r="I94"/>
      <c r="J94"/>
      <c r="K94"/>
      <c r="L94" s="149"/>
      <c r="M94" s="149"/>
    </row>
    <row r="95" spans="1:13">
      <c r="A95"/>
      <c r="B95"/>
      <c r="C95"/>
      <c r="H95"/>
      <c r="I95"/>
      <c r="J95"/>
      <c r="K95"/>
      <c r="L95" s="87"/>
      <c r="M95" s="87"/>
    </row>
    <row r="96" spans="1:13">
      <c r="C96" s="244" t="s">
        <v>459</v>
      </c>
      <c r="D96" s="241"/>
      <c r="E96" s="241"/>
      <c r="F96" s="241"/>
      <c r="G96" s="241"/>
      <c r="H96" s="241"/>
      <c r="I96" s="241"/>
      <c r="J96" s="241"/>
      <c r="K96"/>
      <c r="L96" s="87"/>
    </row>
    <row r="97" spans="1:16">
      <c r="C97" s="247"/>
      <c r="K97"/>
    </row>
    <row r="98" spans="1:16" ht="15.75" customHeight="1">
      <c r="A98"/>
      <c r="B98" s="287"/>
      <c r="D98" s="32">
        <f>ROUNDUP(Dp*Np,0)-1</f>
        <v>0</v>
      </c>
      <c r="E98" s="135" t="s">
        <v>440</v>
      </c>
      <c r="K98"/>
    </row>
    <row r="99" spans="1:16">
      <c r="A99" s="287"/>
      <c r="B99" s="287"/>
    </row>
    <row r="100" spans="1:16">
      <c r="A100" s="287"/>
      <c r="B100" s="287"/>
      <c r="D100" s="246"/>
      <c r="E100" s="246"/>
      <c r="F100" s="135"/>
      <c r="G100" s="140" t="s">
        <v>383</v>
      </c>
      <c r="H100" s="140" t="s">
        <v>384</v>
      </c>
      <c r="I100" s="140" t="s">
        <v>385</v>
      </c>
      <c r="J100" s="140" t="s">
        <v>386</v>
      </c>
      <c r="L100" s="264"/>
    </row>
    <row r="101" spans="1:16">
      <c r="A101"/>
      <c r="B101"/>
      <c r="D101" s="148">
        <f>Dp-J101/Np</f>
        <v>0.10361780130598602</v>
      </c>
      <c r="E101" s="246"/>
      <c r="F101" s="246"/>
      <c r="G101" s="140">
        <f>IF(Dp&gt;1/Np,1,0)</f>
        <v>0</v>
      </c>
      <c r="H101" s="140">
        <f>IF(Dp&gt;2/Np,1,0)</f>
        <v>0</v>
      </c>
      <c r="I101" s="140">
        <f>IF(Dp&gt;3/Np,1,0)</f>
        <v>0</v>
      </c>
      <c r="J101" s="140">
        <f>G101+H101+I101</f>
        <v>0</v>
      </c>
    </row>
    <row r="102" spans="1:16">
      <c r="A102"/>
      <c r="B102"/>
      <c r="D102" s="148">
        <f>(1+J101)/Np-Dp</f>
        <v>0.89638219869401392</v>
      </c>
      <c r="E102" s="246"/>
      <c r="F102" s="246"/>
      <c r="G102" s="246"/>
      <c r="H102" s="246"/>
      <c r="I102" s="246"/>
      <c r="J102" s="246"/>
    </row>
    <row r="103" spans="1:16">
      <c r="A103"/>
      <c r="B103"/>
      <c r="C103"/>
      <c r="D103" s="148">
        <f>IF(Np=1,D104,SQRT(D101*D102))</f>
        <v>0.30476409328938214</v>
      </c>
      <c r="E103" s="135" t="s">
        <v>456</v>
      </c>
      <c r="F103" s="246"/>
      <c r="G103" s="246"/>
      <c r="H103" s="246"/>
      <c r="I103" s="246"/>
      <c r="J103" s="246"/>
    </row>
    <row r="104" spans="1:16">
      <c r="A104"/>
      <c r="B104"/>
      <c r="D104" s="165">
        <f>SQRT(Dp*(1-Dp))</f>
        <v>0.30476409328938214</v>
      </c>
      <c r="E104" s="64" t="s">
        <v>455</v>
      </c>
      <c r="K104" s="294"/>
      <c r="L104" s="294"/>
      <c r="M104" s="294"/>
      <c r="N104" s="294"/>
      <c r="O104" s="294"/>
      <c r="P104" s="294"/>
    </row>
    <row r="105" spans="1:16">
      <c r="A105"/>
      <c r="B105"/>
      <c r="D105" s="297">
        <f>D103/D104</f>
        <v>1</v>
      </c>
      <c r="E105" s="64" t="s">
        <v>457</v>
      </c>
      <c r="K105"/>
      <c r="L105"/>
      <c r="M105"/>
      <c r="N105" s="294"/>
      <c r="O105" s="294"/>
      <c r="P105" s="294"/>
    </row>
    <row r="106" spans="1:16">
      <c r="C106" s="248"/>
      <c r="K106"/>
      <c r="L106"/>
      <c r="M106" s="294"/>
      <c r="N106" s="294"/>
      <c r="O106" s="294"/>
      <c r="P106" s="294"/>
    </row>
    <row r="107" spans="1:16">
      <c r="K107"/>
      <c r="L107"/>
      <c r="M107" s="294"/>
      <c r="N107" s="294"/>
      <c r="O107" s="294"/>
      <c r="P107" s="294"/>
    </row>
    <row r="108" spans="1:16">
      <c r="A108"/>
      <c r="B108"/>
      <c r="C108" s="244" t="s">
        <v>462</v>
      </c>
      <c r="D108"/>
      <c r="E108"/>
      <c r="F108"/>
      <c r="G108"/>
      <c r="H108"/>
      <c r="I108"/>
      <c r="J108"/>
      <c r="K108"/>
      <c r="L108"/>
      <c r="M108"/>
      <c r="N108"/>
      <c r="O108"/>
      <c r="P108" s="294"/>
    </row>
    <row r="109" spans="1:16">
      <c r="A109"/>
      <c r="B109"/>
      <c r="D109"/>
      <c r="E109"/>
      <c r="F109"/>
      <c r="G109"/>
      <c r="H109"/>
      <c r="I109"/>
      <c r="J109"/>
      <c r="K109"/>
      <c r="L109"/>
      <c r="M109"/>
      <c r="N109"/>
      <c r="O109"/>
      <c r="P109" s="294"/>
    </row>
    <row r="110" spans="1:16">
      <c r="A110"/>
      <c r="B110"/>
      <c r="C110"/>
      <c r="D110" s="64" t="s">
        <v>463</v>
      </c>
      <c r="E110"/>
      <c r="F110"/>
      <c r="G110"/>
      <c r="H110"/>
      <c r="I110"/>
      <c r="J110"/>
      <c r="K110"/>
      <c r="L110"/>
      <c r="M110"/>
      <c r="N110"/>
      <c r="O110"/>
      <c r="P110" s="294"/>
    </row>
    <row r="111" spans="1:16" ht="15.75" customHeight="1">
      <c r="A111"/>
      <c r="B111"/>
      <c r="C111"/>
      <c r="D111" s="158" t="s">
        <v>470</v>
      </c>
      <c r="E111"/>
      <c r="F111"/>
      <c r="G111"/>
      <c r="H111"/>
      <c r="I111"/>
      <c r="J111"/>
      <c r="K111"/>
      <c r="L111"/>
      <c r="M111"/>
      <c r="N111"/>
      <c r="O111"/>
      <c r="P111" s="294"/>
    </row>
    <row r="112" spans="1:16">
      <c r="A112"/>
      <c r="B112"/>
      <c r="C112"/>
      <c r="D112" s="158" t="s">
        <v>469</v>
      </c>
      <c r="E112"/>
      <c r="F112"/>
      <c r="G112"/>
      <c r="H112"/>
      <c r="I112"/>
      <c r="J112"/>
      <c r="K112"/>
      <c r="L112"/>
      <c r="M112"/>
      <c r="N112"/>
      <c r="O112"/>
      <c r="P112" s="294"/>
    </row>
    <row r="113" spans="1:17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</row>
    <row r="114" spans="1:17">
      <c r="A114"/>
      <c r="B114"/>
      <c r="C114"/>
      <c r="D114" s="250" t="s">
        <v>208</v>
      </c>
      <c r="E114" s="250" t="s">
        <v>209</v>
      </c>
      <c r="F114"/>
      <c r="G114"/>
      <c r="H114"/>
      <c r="I114"/>
      <c r="J114"/>
      <c r="K114"/>
      <c r="L114"/>
      <c r="M114"/>
      <c r="N114"/>
      <c r="O114"/>
      <c r="P114"/>
      <c r="Q114"/>
    </row>
    <row r="115" spans="1:17">
      <c r="A115"/>
      <c r="B115"/>
      <c r="C115"/>
      <c r="D115" s="159">
        <f>Front!G13-Vinpp/2</f>
        <v>240</v>
      </c>
      <c r="E115" s="131">
        <f>E116+E117+E88/2</f>
        <v>175.87992464622326</v>
      </c>
      <c r="F115" s="135" t="s">
        <v>15</v>
      </c>
      <c r="G115" s="298" t="s">
        <v>471</v>
      </c>
      <c r="H115"/>
      <c r="I115"/>
      <c r="J115"/>
      <c r="K115"/>
      <c r="L115"/>
      <c r="M115"/>
      <c r="N115"/>
      <c r="O115"/>
      <c r="P115"/>
      <c r="Q115"/>
    </row>
    <row r="116" spans="1:17">
      <c r="A116"/>
      <c r="B116"/>
      <c r="C116"/>
      <c r="D116" s="159">
        <f>D115/3</f>
        <v>80</v>
      </c>
      <c r="E116" s="159">
        <f>E120*D118</f>
        <v>19.780219780219781</v>
      </c>
      <c r="F116" s="135" t="s">
        <v>15</v>
      </c>
      <c r="G116" s="298" t="s">
        <v>464</v>
      </c>
      <c r="H116"/>
      <c r="I116"/>
      <c r="J116"/>
      <c r="K116"/>
      <c r="L116"/>
      <c r="M116"/>
      <c r="N116"/>
      <c r="O116"/>
      <c r="P116"/>
      <c r="Q116"/>
    </row>
    <row r="117" spans="1:17">
      <c r="A117"/>
      <c r="B117"/>
      <c r="C117"/>
      <c r="D117" s="159">
        <f>D115*2/3</f>
        <v>160</v>
      </c>
      <c r="E117" s="159">
        <f>1000*SQRT(E122*D118^2/E123)</f>
        <v>49.699672183147854</v>
      </c>
      <c r="F117" s="135" t="s">
        <v>15</v>
      </c>
      <c r="G117" s="298" t="s">
        <v>465</v>
      </c>
      <c r="H117"/>
      <c r="I117"/>
      <c r="J117"/>
      <c r="K117"/>
      <c r="L117"/>
      <c r="M117"/>
      <c r="N117"/>
      <c r="O117"/>
      <c r="P117"/>
      <c r="Q117"/>
    </row>
    <row r="118" spans="1:17">
      <c r="A118"/>
      <c r="B118"/>
      <c r="C118"/>
      <c r="D118" s="159">
        <f>I_step*Vo/Vi/Effy</f>
        <v>1.6483516483516483</v>
      </c>
      <c r="F118" s="64" t="s">
        <v>8</v>
      </c>
      <c r="G118" s="298" t="s">
        <v>466</v>
      </c>
      <c r="H118"/>
      <c r="I118"/>
      <c r="J118"/>
      <c r="K118"/>
      <c r="L118"/>
      <c r="M118"/>
      <c r="N118"/>
      <c r="O118"/>
      <c r="P118"/>
      <c r="Q118"/>
    </row>
    <row r="119" spans="1:17">
      <c r="A119"/>
      <c r="B119"/>
      <c r="C119"/>
      <c r="H119"/>
      <c r="I119"/>
      <c r="J119"/>
      <c r="K119"/>
      <c r="L119"/>
      <c r="M119"/>
      <c r="N119"/>
      <c r="O119"/>
      <c r="P119"/>
      <c r="Q119"/>
    </row>
    <row r="120" spans="1:17">
      <c r="A120"/>
      <c r="B120"/>
      <c r="C120"/>
      <c r="D120" s="299">
        <f>D116/D118</f>
        <v>48.533333333333339</v>
      </c>
      <c r="E120" s="159">
        <f>Front!G75</f>
        <v>12</v>
      </c>
      <c r="F120" s="64" t="s">
        <v>467</v>
      </c>
      <c r="G120" s="135" t="s">
        <v>104</v>
      </c>
      <c r="H120"/>
      <c r="I120"/>
      <c r="J120"/>
      <c r="K120"/>
      <c r="L120"/>
      <c r="M120"/>
      <c r="N120"/>
      <c r="O120"/>
      <c r="P120"/>
      <c r="Q120"/>
    </row>
    <row r="121" spans="1:17">
      <c r="A121"/>
      <c r="B121"/>
      <c r="C121"/>
      <c r="H121"/>
      <c r="I121"/>
      <c r="J121"/>
      <c r="K121"/>
      <c r="L121"/>
      <c r="M121"/>
      <c r="N121"/>
      <c r="O121"/>
      <c r="P121"/>
      <c r="Q121"/>
    </row>
    <row r="122" spans="1:17">
      <c r="A122"/>
      <c r="B122"/>
      <c r="C122"/>
      <c r="D122" s="292">
        <f>Front!F73*0.000000001</f>
        <v>1.0000000000000001E-7</v>
      </c>
      <c r="E122" s="292">
        <f>MAX(Front!G73,20)*0.000000001</f>
        <v>2E-8</v>
      </c>
      <c r="F122" s="64" t="s">
        <v>223</v>
      </c>
      <c r="G122" s="64" t="s">
        <v>468</v>
      </c>
      <c r="H122"/>
      <c r="I122"/>
      <c r="J122"/>
      <c r="K122"/>
      <c r="L122"/>
      <c r="M122"/>
      <c r="N122"/>
      <c r="O122"/>
      <c r="P122"/>
      <c r="Q122"/>
    </row>
    <row r="123" spans="1:17">
      <c r="A123"/>
      <c r="B123"/>
      <c r="C123"/>
      <c r="D123" s="293">
        <f>D122*D118^2/(D117/1000)^2</f>
        <v>1.0613527955560922E-5</v>
      </c>
      <c r="E123" s="292">
        <f>IF(Front!G74=0, 0.000000000000001,Front!G74/1000000)</f>
        <v>2.1999999999999999E-5</v>
      </c>
      <c r="F123" s="64" t="s">
        <v>225</v>
      </c>
      <c r="G123" s="64" t="s">
        <v>206</v>
      </c>
      <c r="H123"/>
      <c r="I123"/>
      <c r="J123"/>
      <c r="K123"/>
      <c r="L123"/>
      <c r="M123"/>
      <c r="N123"/>
      <c r="O123"/>
      <c r="P123"/>
      <c r="Q123"/>
    </row>
    <row r="124" spans="1:17">
      <c r="A124"/>
      <c r="B124"/>
      <c r="C124"/>
      <c r="H124"/>
      <c r="I124"/>
      <c r="J124"/>
      <c r="K124"/>
      <c r="L124"/>
      <c r="M124"/>
      <c r="N124"/>
      <c r="O124"/>
      <c r="P124"/>
      <c r="Q124"/>
    </row>
    <row r="125" spans="1:17">
      <c r="B125"/>
      <c r="C125"/>
      <c r="H125"/>
      <c r="I125"/>
      <c r="J125"/>
      <c r="K125"/>
      <c r="L125"/>
      <c r="M125"/>
      <c r="N125"/>
      <c r="O125"/>
      <c r="P125"/>
      <c r="Q125"/>
    </row>
    <row r="126" spans="1:17">
      <c r="B126"/>
      <c r="C126"/>
      <c r="H126"/>
      <c r="I126"/>
      <c r="J126"/>
      <c r="K126"/>
      <c r="L126"/>
      <c r="M126"/>
      <c r="N126"/>
      <c r="O126"/>
      <c r="P126"/>
      <c r="Q126"/>
    </row>
    <row r="127" spans="1:17">
      <c r="B127"/>
      <c r="C127"/>
      <c r="H127"/>
      <c r="I127"/>
      <c r="J127"/>
      <c r="K127"/>
      <c r="L127"/>
      <c r="M127"/>
      <c r="N127"/>
      <c r="O127"/>
      <c r="P127"/>
      <c r="Q127"/>
    </row>
    <row r="128" spans="1:17">
      <c r="B128"/>
      <c r="C128"/>
      <c r="H128"/>
      <c r="I128"/>
      <c r="J128"/>
      <c r="K128"/>
      <c r="L128"/>
      <c r="M128"/>
      <c r="N128"/>
      <c r="O128"/>
      <c r="P128"/>
      <c r="Q128"/>
    </row>
    <row r="129" spans="2:17">
      <c r="B129"/>
      <c r="C129"/>
      <c r="H129"/>
      <c r="I129"/>
      <c r="J129"/>
      <c r="K129"/>
      <c r="L129"/>
      <c r="M129"/>
      <c r="N129"/>
      <c r="O129"/>
      <c r="P129"/>
      <c r="Q129"/>
    </row>
    <row r="130" spans="2:17">
      <c r="C130" s="242"/>
      <c r="L130"/>
      <c r="M130"/>
      <c r="N130"/>
      <c r="O130"/>
      <c r="P130"/>
      <c r="Q130"/>
    </row>
    <row r="131" spans="2:17">
      <c r="C131" s="242"/>
      <c r="L131"/>
      <c r="M131"/>
      <c r="N131"/>
      <c r="O131"/>
      <c r="P131"/>
      <c r="Q131"/>
    </row>
    <row r="132" spans="2:17">
      <c r="C132" s="242"/>
      <c r="L132"/>
      <c r="M132"/>
      <c r="N132"/>
      <c r="O132"/>
      <c r="P132"/>
      <c r="Q132"/>
    </row>
    <row r="133" spans="2:17">
      <c r="C133" s="242"/>
      <c r="L133"/>
      <c r="M133"/>
      <c r="N133"/>
      <c r="O133"/>
      <c r="P133"/>
      <c r="Q133"/>
    </row>
    <row r="134" spans="2:17">
      <c r="D134" s="32"/>
      <c r="E134" s="32"/>
      <c r="F134" s="32"/>
      <c r="G134" s="32"/>
      <c r="L134"/>
      <c r="M134"/>
      <c r="N134"/>
      <c r="O134"/>
      <c r="P134"/>
      <c r="Q134"/>
    </row>
    <row r="135" spans="2:17">
      <c r="L135"/>
      <c r="M135"/>
      <c r="N135"/>
      <c r="O135"/>
      <c r="P135"/>
      <c r="Q135"/>
    </row>
  </sheetData>
  <mergeCells count="1">
    <mergeCell ref="E34:E35"/>
  </mergeCells>
  <phoneticPr fontId="18" type="noConversion"/>
  <pageMargins left="0.7" right="0.7" top="0.75" bottom="0.75" header="0.3" footer="0.3"/>
  <pageSetup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E2D2E-9D11-4DB0-BEBC-99EEC7250147}">
  <dimension ref="A2:CZ344"/>
  <sheetViews>
    <sheetView topLeftCell="BB28" zoomScale="55" zoomScaleNormal="55" workbookViewId="0">
      <selection activeCell="BP33" sqref="BP33"/>
    </sheetView>
  </sheetViews>
  <sheetFormatPr defaultColWidth="9" defaultRowHeight="15.6"/>
  <cols>
    <col min="1" max="2" width="9" style="64"/>
    <col min="3" max="3" width="13.69921875" style="32" customWidth="1"/>
    <col min="4" max="4" width="11.8984375" style="32" customWidth="1"/>
    <col min="5" max="5" width="24.69921875" style="32" customWidth="1"/>
    <col min="6" max="6" width="11.09765625" style="32" customWidth="1"/>
    <col min="7" max="7" width="15.59765625" style="32" customWidth="1"/>
    <col min="8" max="9" width="15.59765625" style="64" customWidth="1"/>
    <col min="10" max="10" width="9.19921875" style="64" customWidth="1"/>
    <col min="11" max="15" width="15.59765625" style="64" customWidth="1"/>
    <col min="16" max="16" width="9.19921875" style="64" customWidth="1"/>
    <col min="17" max="21" width="15.59765625" style="64" customWidth="1"/>
    <col min="22" max="22" width="9.19921875" style="64" customWidth="1"/>
    <col min="23" max="24" width="15.59765625" style="64" customWidth="1"/>
    <col min="25" max="25" width="15.59765625" style="188" customWidth="1"/>
    <col min="26" max="26" width="12.5" style="64" bestFit="1" customWidth="1"/>
    <col min="27" max="27" width="10.3984375" style="64" bestFit="1" customWidth="1"/>
    <col min="28" max="28" width="10.3984375" style="64" customWidth="1"/>
    <col min="29" max="31" width="15.59765625" style="64" customWidth="1"/>
    <col min="32" max="32" width="12.69921875" style="64" bestFit="1" customWidth="1"/>
    <col min="33" max="35" width="15.59765625" style="64" customWidth="1"/>
    <col min="36" max="36" width="10.3984375" style="64" bestFit="1" customWidth="1"/>
    <col min="37" max="39" width="9" style="64"/>
    <col min="40" max="40" width="15.59765625" style="64" customWidth="1"/>
    <col min="41" max="41" width="10.8984375" style="64" bestFit="1" customWidth="1"/>
    <col min="42" max="45" width="9" style="64"/>
    <col min="46" max="48" width="15.59765625" style="64" customWidth="1"/>
    <col min="49" max="49" width="9" style="64"/>
    <col min="50" max="52" width="15.59765625" style="64" customWidth="1"/>
    <col min="53" max="56" width="9" style="64"/>
    <col min="57" max="57" width="15.59765625" style="64" customWidth="1"/>
    <col min="58" max="16384" width="9" style="64"/>
  </cols>
  <sheetData>
    <row r="2" spans="2:78" ht="31.5" customHeight="1">
      <c r="B2" s="408" t="s">
        <v>123</v>
      </c>
      <c r="C2" s="419"/>
      <c r="D2" s="419"/>
      <c r="E2" s="419"/>
      <c r="F2" s="419"/>
      <c r="G2" s="419"/>
      <c r="H2" s="419"/>
      <c r="I2" s="419"/>
      <c r="J2" s="419"/>
      <c r="K2" s="419"/>
      <c r="L2" s="419"/>
      <c r="M2" s="419"/>
      <c r="N2" s="420"/>
      <c r="O2" s="423"/>
      <c r="P2" s="424"/>
      <c r="Q2" s="424"/>
      <c r="R2" s="424"/>
      <c r="S2" s="424"/>
      <c r="T2" s="424"/>
      <c r="U2" s="424"/>
      <c r="V2" s="424"/>
      <c r="W2" s="424"/>
      <c r="X2" s="424"/>
      <c r="Y2" s="424"/>
    </row>
    <row r="3" spans="2:78">
      <c r="F3"/>
      <c r="G3"/>
      <c r="H3"/>
      <c r="I3"/>
      <c r="J3"/>
      <c r="K3"/>
      <c r="L3"/>
      <c r="M3"/>
      <c r="N3"/>
    </row>
    <row r="4" spans="2:78">
      <c r="B4" s="154" t="s">
        <v>244</v>
      </c>
      <c r="C4" s="155" t="s">
        <v>245</v>
      </c>
      <c r="D4" s="155" t="s">
        <v>246</v>
      </c>
      <c r="E4"/>
      <c r="F4"/>
      <c r="G4"/>
      <c r="H4"/>
      <c r="I4"/>
      <c r="J4"/>
      <c r="K4"/>
      <c r="L4"/>
      <c r="M4"/>
      <c r="N4"/>
    </row>
    <row r="5" spans="2:78">
      <c r="B5" s="64" t="s">
        <v>90</v>
      </c>
      <c r="C5" s="157">
        <f>Front!G85/1000000</f>
        <v>2.2000000000000001E-7</v>
      </c>
      <c r="D5" s="32" t="s">
        <v>223</v>
      </c>
      <c r="F5" s="141"/>
      <c r="G5"/>
      <c r="H5"/>
      <c r="I5"/>
      <c r="J5"/>
      <c r="K5" s="410" t="s">
        <v>289</v>
      </c>
      <c r="L5" s="411"/>
      <c r="M5" s="411"/>
      <c r="N5" s="411"/>
      <c r="O5" s="412"/>
      <c r="U5" s="186">
        <f>Fc*2000*PI()</f>
        <v>523598.77559829882</v>
      </c>
      <c r="V5" s="64" t="s">
        <v>147</v>
      </c>
      <c r="W5" s="64" t="s">
        <v>308</v>
      </c>
      <c r="X5" s="186">
        <f>U5/2/PI()</f>
        <v>83333.333333333328</v>
      </c>
      <c r="Y5" s="188" t="s">
        <v>226</v>
      </c>
    </row>
    <row r="6" spans="2:78">
      <c r="B6" s="64" t="s">
        <v>93</v>
      </c>
      <c r="C6" s="157">
        <f>Front!G86/1000</f>
        <v>2.9999999999999997E-4</v>
      </c>
      <c r="D6" s="156" t="s">
        <v>224</v>
      </c>
      <c r="F6"/>
      <c r="G6"/>
      <c r="H6"/>
      <c r="I6"/>
      <c r="J6"/>
    </row>
    <row r="7" spans="2:78">
      <c r="B7" s="64" t="s">
        <v>107</v>
      </c>
      <c r="C7" s="157">
        <f>Front!G92/1000000000</f>
        <v>7.6923076923076924E-11</v>
      </c>
      <c r="D7" s="32" t="s">
        <v>223</v>
      </c>
      <c r="F7"/>
      <c r="G7"/>
      <c r="H7"/>
      <c r="I7"/>
      <c r="J7"/>
      <c r="L7" s="32" t="s">
        <v>290</v>
      </c>
      <c r="N7" s="32" t="s">
        <v>291</v>
      </c>
      <c r="U7" s="188">
        <f>1/X178</f>
        <v>5.976767610870982</v>
      </c>
      <c r="V7" s="64" t="s">
        <v>228</v>
      </c>
      <c r="W7" s="64" t="s">
        <v>304</v>
      </c>
    </row>
    <row r="8" spans="2:78">
      <c r="B8" s="64" t="s">
        <v>247</v>
      </c>
      <c r="C8" s="157">
        <f>Front!G90/1000000</f>
        <v>7.6327999999999997E-4</v>
      </c>
      <c r="D8" s="32" t="s">
        <v>225</v>
      </c>
      <c r="F8" s="180"/>
      <c r="G8"/>
      <c r="H8"/>
      <c r="I8"/>
      <c r="J8"/>
      <c r="K8" s="42">
        <f>L8/1000</f>
        <v>10</v>
      </c>
      <c r="L8" s="260">
        <v>10000</v>
      </c>
      <c r="M8" s="32" t="s">
        <v>233</v>
      </c>
      <c r="N8" s="181">
        <f>1000*O8</f>
        <v>10000</v>
      </c>
      <c r="O8" s="32">
        <f>Front!G123</f>
        <v>10</v>
      </c>
      <c r="U8" s="161">
        <f>PM-180-AA178</f>
        <v>4.8487611646288826</v>
      </c>
      <c r="V8" s="64" t="s">
        <v>303</v>
      </c>
      <c r="W8" s="64" t="s">
        <v>305</v>
      </c>
    </row>
    <row r="9" spans="2:78">
      <c r="B9" s="64" t="s">
        <v>248</v>
      </c>
      <c r="C9" s="162">
        <f>ESRp</f>
        <v>2.3999999999999998E-4</v>
      </c>
      <c r="D9" s="156" t="s">
        <v>224</v>
      </c>
      <c r="E9" s="259"/>
      <c r="F9"/>
      <c r="G9"/>
      <c r="H9"/>
      <c r="I9"/>
      <c r="J9"/>
      <c r="K9" s="42">
        <f>L9/1000</f>
        <v>27.456138307019756</v>
      </c>
      <c r="L9" s="261">
        <f>U22</f>
        <v>27456.138307019755</v>
      </c>
      <c r="M9" s="32" t="s">
        <v>234</v>
      </c>
      <c r="N9" s="181">
        <f>1000*O9</f>
        <v>22000</v>
      </c>
      <c r="O9" s="32">
        <f>Front!G125</f>
        <v>22</v>
      </c>
      <c r="U9" s="161">
        <f>PM-AA178-90</f>
        <v>94.848761164628883</v>
      </c>
      <c r="V9" s="64" t="s">
        <v>303</v>
      </c>
      <c r="W9" s="64" t="s">
        <v>307</v>
      </c>
    </row>
    <row r="10" spans="2:78">
      <c r="C10" s="88"/>
      <c r="F10"/>
      <c r="G10"/>
      <c r="H10"/>
      <c r="I10"/>
      <c r="J10"/>
      <c r="K10" s="165">
        <f>L10/1000</f>
        <v>1.7899260436869102</v>
      </c>
      <c r="L10" s="261">
        <f>U23</f>
        <v>1789.9260436869101</v>
      </c>
      <c r="M10" s="32" t="s">
        <v>235</v>
      </c>
      <c r="N10" s="181">
        <f>1000*O10</f>
        <v>0</v>
      </c>
      <c r="O10" s="32">
        <f>Front!G126</f>
        <v>0</v>
      </c>
      <c r="U10" s="186"/>
    </row>
    <row r="11" spans="2:78" ht="18.75" customHeight="1">
      <c r="B11" s="421" t="s">
        <v>139</v>
      </c>
      <c r="C11" s="32">
        <v>80</v>
      </c>
      <c r="D11" s="32" t="s">
        <v>138</v>
      </c>
      <c r="F11"/>
      <c r="G11"/>
      <c r="H11"/>
      <c r="I11"/>
      <c r="J11"/>
      <c r="K11" s="42">
        <f>L11*1000000000000</f>
        <v>31.954719364175247</v>
      </c>
      <c r="L11" s="262">
        <f>U19</f>
        <v>3.1954719364175248E-11</v>
      </c>
      <c r="M11" s="32" t="s">
        <v>238</v>
      </c>
      <c r="N11" s="190">
        <f>O11*0.000000000001</f>
        <v>9.9999999999999994E-12</v>
      </c>
      <c r="O11" s="32">
        <f>Front!G129</f>
        <v>10</v>
      </c>
      <c r="T11" s="310"/>
      <c r="U11" s="187">
        <f>1/Co_p/ESRz</f>
        <v>3656069.0058753472</v>
      </c>
      <c r="V11" s="64" t="s">
        <v>147</v>
      </c>
      <c r="W11" s="64" t="s">
        <v>217</v>
      </c>
      <c r="X11" s="186">
        <f>U11/2/PI()</f>
        <v>581881.45457013324</v>
      </c>
      <c r="Y11" s="188" t="s">
        <v>226</v>
      </c>
      <c r="BT11" s="150"/>
      <c r="BU11" s="150"/>
      <c r="BV11" s="150"/>
      <c r="BW11" s="150"/>
      <c r="BX11" s="150"/>
      <c r="BY11" s="150"/>
      <c r="BZ11" s="150"/>
    </row>
    <row r="12" spans="2:78">
      <c r="B12" s="421"/>
      <c r="C12" s="140">
        <f>10^(C11/20)</f>
        <v>10000</v>
      </c>
      <c r="D12" s="32" t="s">
        <v>228</v>
      </c>
      <c r="F12"/>
      <c r="G12"/>
      <c r="H12"/>
      <c r="I12"/>
      <c r="J12"/>
      <c r="K12" s="42">
        <f>L12*1000000000000</f>
        <v>178.52536129567986</v>
      </c>
      <c r="L12" s="262">
        <f>U20</f>
        <v>1.7852536129567985E-10</v>
      </c>
      <c r="M12" s="32" t="s">
        <v>236</v>
      </c>
      <c r="N12" s="190">
        <f>O12*0.000000000001</f>
        <v>1E-10</v>
      </c>
      <c r="O12" s="32">
        <f>Front!G128</f>
        <v>100</v>
      </c>
      <c r="U12" s="187">
        <f>(1/Ro_p+1/Ri/Km/Np)/Co_p</f>
        <v>56855.31582960127</v>
      </c>
      <c r="V12" s="64" t="s">
        <v>147</v>
      </c>
      <c r="W12" s="64" t="s">
        <v>306</v>
      </c>
      <c r="X12" s="186">
        <f>U12/2/PI()</f>
        <v>9048.8045553319262</v>
      </c>
      <c r="Y12" s="188" t="s">
        <v>226</v>
      </c>
      <c r="BT12" s="150"/>
      <c r="BU12" s="150"/>
      <c r="BV12" s="150"/>
      <c r="BW12" s="150"/>
      <c r="BX12" s="150"/>
      <c r="BY12" s="150"/>
      <c r="BZ12" s="150"/>
    </row>
    <row r="13" spans="2:78" ht="18.75" customHeight="1">
      <c r="B13" s="421" t="s">
        <v>140</v>
      </c>
      <c r="C13" s="157">
        <v>12000000</v>
      </c>
      <c r="D13" s="32" t="s">
        <v>226</v>
      </c>
      <c r="F13"/>
      <c r="G13"/>
      <c r="H13"/>
      <c r="I13"/>
      <c r="J13"/>
      <c r="K13" s="42">
        <f>L13*1000000000000</f>
        <v>415.74620509765629</v>
      </c>
      <c r="L13" s="262">
        <f>U21</f>
        <v>4.1574620509765631E-10</v>
      </c>
      <c r="M13" s="32" t="s">
        <v>237</v>
      </c>
      <c r="N13" s="190">
        <f>O13*0.000000000001</f>
        <v>3.9E-10</v>
      </c>
      <c r="O13" s="32">
        <f>Front!G127</f>
        <v>390</v>
      </c>
      <c r="U13" s="187">
        <f>Z13*Z14</f>
        <v>12793.683917364486</v>
      </c>
      <c r="V13" s="64" t="s">
        <v>147</v>
      </c>
      <c r="W13" s="416" t="s">
        <v>314</v>
      </c>
      <c r="X13" s="186">
        <f>U13/2/PI()</f>
        <v>2036.1780358038413</v>
      </c>
      <c r="Y13" s="188" t="s">
        <v>226</v>
      </c>
      <c r="Z13" s="186">
        <f>1/SQRT(Co_p*Lp)</f>
        <v>77169.683341712938</v>
      </c>
      <c r="AA13" s="64" t="s">
        <v>315</v>
      </c>
      <c r="BT13"/>
      <c r="BU13"/>
      <c r="BV13"/>
      <c r="BW13"/>
      <c r="BX13"/>
      <c r="BY13"/>
      <c r="BZ13" s="150"/>
    </row>
    <row r="14" spans="2:78">
      <c r="B14" s="421"/>
      <c r="C14" s="157">
        <f>0.85*C13</f>
        <v>10200000</v>
      </c>
      <c r="D14" s="32" t="s">
        <v>226</v>
      </c>
      <c r="E14" s="64"/>
      <c r="F14" s="151" t="s">
        <v>249</v>
      </c>
      <c r="G14"/>
      <c r="H14"/>
      <c r="I14"/>
      <c r="J14"/>
      <c r="K14" s="42" t="str">
        <f>IF(Vo_Scale=1,"open",L14/1000)</f>
        <v>open</v>
      </c>
      <c r="L14" s="263" t="str">
        <f>IF(Vo_Scale=1,"open",_R1c/L18)</f>
        <v>open</v>
      </c>
      <c r="M14" s="32" t="s">
        <v>294</v>
      </c>
      <c r="N14" s="181" t="e">
        <f>1000*O14</f>
        <v>#VALUE!</v>
      </c>
      <c r="O14" s="32" t="str">
        <f>Front!G124</f>
        <v>NA</v>
      </c>
      <c r="U14" s="187">
        <f>Z13/Z14</f>
        <v>465476.56371105794</v>
      </c>
      <c r="V14" s="64" t="s">
        <v>147</v>
      </c>
      <c r="W14" s="416"/>
      <c r="X14" s="186">
        <f>U14/2/PI()</f>
        <v>74082.896008044423</v>
      </c>
      <c r="Y14" s="188" t="s">
        <v>226</v>
      </c>
      <c r="Z14" s="172">
        <f>1/(PI()*(Lp/Kmp/Ri/Tp-0.5))</f>
        <v>0.16578639905405765</v>
      </c>
      <c r="AA14" s="64" t="s">
        <v>149</v>
      </c>
      <c r="BT14"/>
      <c r="BU14"/>
      <c r="BV14"/>
      <c r="BW14"/>
      <c r="BX14"/>
      <c r="BY14"/>
      <c r="BZ14" s="150"/>
    </row>
    <row r="15" spans="2:78">
      <c r="B15" s="33"/>
      <c r="C15" s="157"/>
      <c r="E15" s="151"/>
      <c r="F15"/>
      <c r="G15"/>
      <c r="H15"/>
      <c r="I15"/>
      <c r="J15"/>
      <c r="K15" s="32" t="s">
        <v>293</v>
      </c>
      <c r="O15" s="32" t="s">
        <v>292</v>
      </c>
      <c r="BT15"/>
      <c r="BU15"/>
      <c r="BV15"/>
      <c r="BW15"/>
      <c r="BX15"/>
      <c r="BY15"/>
      <c r="BZ15" s="150"/>
    </row>
    <row r="16" spans="2:78">
      <c r="B16" s="33"/>
      <c r="C16" s="157" t="s">
        <v>251</v>
      </c>
      <c r="D16" s="32" t="s">
        <v>252</v>
      </c>
      <c r="E16" s="151"/>
      <c r="F16"/>
      <c r="G16"/>
      <c r="H16"/>
      <c r="I16"/>
      <c r="J16"/>
      <c r="K16" s="32" t="s">
        <v>295</v>
      </c>
      <c r="L16" s="32" t="s">
        <v>296</v>
      </c>
      <c r="M16" s="32"/>
      <c r="N16" s="32" t="s">
        <v>296</v>
      </c>
      <c r="O16" s="32" t="s">
        <v>295</v>
      </c>
      <c r="U16" s="144" t="s">
        <v>317</v>
      </c>
      <c r="V16" s="135"/>
      <c r="W16" s="135"/>
      <c r="Z16" s="64">
        <f>TAN((U9/4+45)*PI()/180)</f>
        <v>2.5664806654348808</v>
      </c>
      <c r="AA16" s="64" t="s">
        <v>316</v>
      </c>
      <c r="BT16"/>
      <c r="BU16"/>
      <c r="BV16"/>
      <c r="BW16"/>
      <c r="BX16"/>
      <c r="BY16"/>
      <c r="BZ16" s="150"/>
    </row>
    <row r="17" spans="1:78">
      <c r="B17" s="33" t="s">
        <v>279</v>
      </c>
      <c r="C17" s="170">
        <v>1.8</v>
      </c>
      <c r="D17" s="152">
        <v>2.9</v>
      </c>
      <c r="E17" s="160" t="s">
        <v>253</v>
      </c>
      <c r="F17" s="168" t="s">
        <v>284</v>
      </c>
      <c r="G17" s="176"/>
      <c r="H17" s="176"/>
      <c r="I17"/>
      <c r="J17"/>
      <c r="K17"/>
      <c r="U17" s="87" t="s">
        <v>326</v>
      </c>
      <c r="V17" s="196"/>
      <c r="W17" s="135"/>
      <c r="Z17" s="64">
        <f>Z16^2</f>
        <v>6.5868230060510689</v>
      </c>
      <c r="AA17" s="64" t="s">
        <v>309</v>
      </c>
      <c r="BT17"/>
      <c r="BU17"/>
      <c r="BV17"/>
      <c r="BW17"/>
      <c r="BX17"/>
      <c r="BY17"/>
      <c r="BZ17" s="150"/>
    </row>
    <row r="18" spans="1:78">
      <c r="B18" s="33" t="s">
        <v>250</v>
      </c>
      <c r="C18" s="170">
        <v>0.8</v>
      </c>
      <c r="D18" s="170">
        <v>2</v>
      </c>
      <c r="E18" s="160" t="s">
        <v>253</v>
      </c>
      <c r="F18"/>
      <c r="G18"/>
      <c r="H18"/>
      <c r="I18"/>
      <c r="J18"/>
      <c r="K18"/>
      <c r="L18" s="32">
        <f>1/Vo_Scale-1</f>
        <v>0</v>
      </c>
      <c r="M18" s="64" t="s">
        <v>310</v>
      </c>
      <c r="BT18"/>
      <c r="BU18"/>
      <c r="BV18"/>
      <c r="BW18"/>
      <c r="BX18"/>
      <c r="BY18"/>
      <c r="BZ18" s="150"/>
    </row>
    <row r="19" spans="1:78" ht="18">
      <c r="B19" s="32" t="s">
        <v>141</v>
      </c>
      <c r="C19" s="159">
        <v>-12.5</v>
      </c>
      <c r="D19" s="159">
        <v>-5</v>
      </c>
      <c r="E19" s="158" t="s">
        <v>142</v>
      </c>
      <c r="F19"/>
      <c r="G19"/>
      <c r="H19"/>
      <c r="I19"/>
      <c r="J19"/>
      <c r="K19"/>
      <c r="U19" s="135">
        <f>1/Wc/U7/_R1c</f>
        <v>3.1954719364175248E-11</v>
      </c>
      <c r="V19" s="64" t="s">
        <v>225</v>
      </c>
      <c r="W19" s="64" t="s">
        <v>238</v>
      </c>
      <c r="BT19"/>
      <c r="BU19"/>
      <c r="BV19"/>
      <c r="BW19"/>
      <c r="BX19"/>
      <c r="BY19"/>
      <c r="BZ19" s="150"/>
    </row>
    <row r="20" spans="1:78">
      <c r="B20" s="32"/>
      <c r="C20" s="32">
        <f>C18*C19/1000</f>
        <v>-0.01</v>
      </c>
      <c r="D20" s="32">
        <f>D18*D19/1000</f>
        <v>-0.01</v>
      </c>
      <c r="E20" s="64"/>
      <c r="F20" s="87" t="s">
        <v>254</v>
      </c>
      <c r="G20"/>
      <c r="H20"/>
      <c r="I20"/>
      <c r="J20"/>
      <c r="K20" s="303">
        <v>2.3000000000000001E-8</v>
      </c>
      <c r="L20" s="153" t="s">
        <v>413</v>
      </c>
      <c r="M20"/>
      <c r="N20"/>
      <c r="U20" s="135">
        <f>U19*(Z17-1)</f>
        <v>1.7852536129567985E-10</v>
      </c>
      <c r="V20" s="64" t="s">
        <v>225</v>
      </c>
      <c r="W20" s="64" t="s">
        <v>236</v>
      </c>
      <c r="BT20"/>
      <c r="BU20"/>
      <c r="BV20"/>
      <c r="BW20"/>
      <c r="BX20"/>
      <c r="BY20"/>
      <c r="BZ20" s="150"/>
    </row>
    <row r="21" spans="1:78">
      <c r="B21" s="32" t="s">
        <v>219</v>
      </c>
      <c r="C21" s="422">
        <f>-1*D20</f>
        <v>0.01</v>
      </c>
      <c r="D21" s="422"/>
      <c r="E21" s="158" t="s">
        <v>221</v>
      </c>
      <c r="F21"/>
      <c r="G21"/>
      <c r="H21"/>
      <c r="I21"/>
      <c r="J21"/>
      <c r="K21" s="304">
        <f>Vo+Iomax*(DCRp+C18/1000)</f>
        <v>1.2329999999999999</v>
      </c>
      <c r="L21" s="246" t="s">
        <v>414</v>
      </c>
      <c r="M21"/>
      <c r="N21"/>
      <c r="S21" s="149"/>
      <c r="T21" s="149"/>
      <c r="U21" s="135">
        <f>1/Wc/Z16/U23</f>
        <v>4.1574620509765631E-10</v>
      </c>
      <c r="V21" s="64" t="s">
        <v>225</v>
      </c>
      <c r="W21" s="64" t="s">
        <v>237</v>
      </c>
      <c r="BT21"/>
      <c r="BU21"/>
      <c r="BV21"/>
      <c r="BW21"/>
      <c r="BX21"/>
      <c r="BY21"/>
      <c r="BZ21" s="150"/>
    </row>
    <row r="22" spans="1:78">
      <c r="B22" s="32"/>
      <c r="D22" s="64"/>
      <c r="E22" s="158"/>
      <c r="F22"/>
      <c r="G22"/>
      <c r="H22"/>
      <c r="I22"/>
      <c r="J22"/>
      <c r="K22" s="305">
        <f>K20/Tp*((Iomax/490+0.598)-(Iomax*C18/1000))</f>
        <v>7.3050816326530616E-3</v>
      </c>
      <c r="L22" s="246" t="s">
        <v>415</v>
      </c>
      <c r="M22"/>
      <c r="N22"/>
      <c r="S22" s="149"/>
      <c r="T22" s="197"/>
      <c r="U22" s="187">
        <f>Z16/Wc/U20</f>
        <v>27456.138307019755</v>
      </c>
      <c r="V22" s="196" t="s">
        <v>224</v>
      </c>
      <c r="W22" s="64" t="s">
        <v>234</v>
      </c>
      <c r="Z22" s="161"/>
      <c r="BT22"/>
      <c r="BU22"/>
      <c r="BV22"/>
      <c r="BW22"/>
      <c r="BX22"/>
      <c r="BY22"/>
      <c r="BZ22" s="150"/>
    </row>
    <row r="23" spans="1:78">
      <c r="B23" s="32" t="s">
        <v>148</v>
      </c>
      <c r="C23" s="157">
        <f>Fsw*1000</f>
        <v>500000</v>
      </c>
      <c r="D23" s="32" t="s">
        <v>226</v>
      </c>
      <c r="F23" s="87"/>
      <c r="G23"/>
      <c r="H23"/>
      <c r="I23"/>
      <c r="J23"/>
      <c r="K23" s="304">
        <f>Vi-Iomax*((C17-C18)/1000)</f>
        <v>11.97</v>
      </c>
      <c r="L23" s="246" t="s">
        <v>416</v>
      </c>
      <c r="M23"/>
      <c r="N23"/>
      <c r="S23" s="149"/>
      <c r="T23" s="149"/>
      <c r="U23" s="187">
        <f>_R1c/(Z17-1)</f>
        <v>1789.9260436869101</v>
      </c>
      <c r="V23" s="196" t="s">
        <v>224</v>
      </c>
      <c r="W23" s="64" t="s">
        <v>235</v>
      </c>
      <c r="Z23" s="161"/>
      <c r="BT23"/>
      <c r="BU23"/>
      <c r="BV23"/>
      <c r="BW23"/>
      <c r="BX23"/>
      <c r="BY23"/>
      <c r="BZ23" s="150"/>
    </row>
    <row r="24" spans="1:78">
      <c r="B24" s="32" t="s">
        <v>255</v>
      </c>
      <c r="C24" s="157">
        <f>1/Freq</f>
        <v>1.9999999999999999E-6</v>
      </c>
      <c r="D24" s="32" t="s">
        <v>256</v>
      </c>
      <c r="F24" s="87"/>
      <c r="G24"/>
      <c r="H24"/>
      <c r="I24"/>
      <c r="J24"/>
      <c r="K24" s="306">
        <f>(K21+K22)/K23</f>
        <v>0.10361780130598602</v>
      </c>
      <c r="L24" s="246" t="s">
        <v>417</v>
      </c>
      <c r="M24"/>
      <c r="N24" s="328"/>
      <c r="O24" s="147"/>
      <c r="S24" s="149"/>
      <c r="T24" s="149"/>
      <c r="U24" s="135"/>
      <c r="BT24"/>
      <c r="BU24"/>
      <c r="BV24"/>
      <c r="BW24"/>
      <c r="BX24"/>
      <c r="BY24"/>
      <c r="BZ24" s="150"/>
    </row>
    <row r="25" spans="1:78">
      <c r="B25" s="32" t="s">
        <v>259</v>
      </c>
      <c r="C25" s="308">
        <f>K24</f>
        <v>0.10361780130598602</v>
      </c>
      <c r="D25" s="32" t="s">
        <v>260</v>
      </c>
      <c r="E25" s="171"/>
      <c r="F25" s="168" t="s">
        <v>419</v>
      </c>
      <c r="G25" s="177"/>
      <c r="H25"/>
      <c r="I25" s="191"/>
      <c r="J25"/>
      <c r="K25" s="307">
        <f>K24*Tp*1000000000</f>
        <v>207.23560261197204</v>
      </c>
      <c r="L25" s="246" t="s">
        <v>418</v>
      </c>
      <c r="M25"/>
      <c r="N25"/>
      <c r="O25" s="147"/>
      <c r="S25" s="149"/>
      <c r="T25" s="149"/>
      <c r="U25" s="135" cm="1">
        <f t="array" ref="U25">INDEX(C50:C177,MATCH(MIN(ABS(AP50:AP177)),ABS(AP50:AP177),0))</f>
        <v>83176.377110267335</v>
      </c>
      <c r="W25" s="64" t="s">
        <v>318</v>
      </c>
      <c r="BT25"/>
      <c r="BU25"/>
      <c r="BV25"/>
      <c r="BW25"/>
      <c r="BX25"/>
      <c r="BY25"/>
      <c r="BZ25" s="150"/>
    </row>
    <row r="26" spans="1:78">
      <c r="B26" s="32" t="s">
        <v>257</v>
      </c>
      <c r="C26" s="157">
        <f>Dp*Tp</f>
        <v>2.0723560261197204E-7</v>
      </c>
      <c r="D26" s="32" t="s">
        <v>256</v>
      </c>
      <c r="F26" s="87"/>
      <c r="G26"/>
      <c r="H26"/>
      <c r="I26"/>
      <c r="J26"/>
      <c r="K26" s="163"/>
      <c r="L26"/>
      <c r="M26"/>
      <c r="N26"/>
      <c r="S26" s="149"/>
      <c r="T26" s="149"/>
      <c r="U26" s="135">
        <f>INDEX(AR50:AR177,MATCH(U25,C50:C177,0))</f>
        <v>77.083448338136122</v>
      </c>
      <c r="V26" s="196"/>
      <c r="W26" s="64" t="s">
        <v>319</v>
      </c>
      <c r="BT26"/>
      <c r="BU26"/>
      <c r="BV26"/>
      <c r="BW26"/>
      <c r="BX26"/>
      <c r="BY26"/>
      <c r="BZ26" s="150"/>
    </row>
    <row r="27" spans="1:78">
      <c r="B27" s="32" t="s">
        <v>258</v>
      </c>
      <c r="C27" s="157">
        <f>Tp-Ton_p</f>
        <v>1.7927643973880278E-6</v>
      </c>
      <c r="D27" s="32" t="s">
        <v>256</v>
      </c>
      <c r="F27" s="87"/>
      <c r="G27"/>
      <c r="H27"/>
      <c r="I27"/>
      <c r="J27"/>
      <c r="K27"/>
      <c r="L27"/>
      <c r="M27"/>
      <c r="N27"/>
      <c r="S27" s="149"/>
      <c r="T27" s="149"/>
      <c r="U27" s="149"/>
      <c r="BT27"/>
      <c r="BU27"/>
      <c r="BV27"/>
      <c r="BW27"/>
      <c r="BX27"/>
      <c r="BY27"/>
      <c r="BZ27" s="150"/>
    </row>
    <row r="28" spans="1:78">
      <c r="B28" s="32"/>
      <c r="C28" s="157"/>
      <c r="F28"/>
      <c r="G28"/>
      <c r="H28"/>
      <c r="I28"/>
      <c r="J28"/>
      <c r="K28" s="180"/>
      <c r="L28"/>
      <c r="M28"/>
      <c r="N28"/>
      <c r="BT28"/>
      <c r="BU28"/>
      <c r="BV28"/>
      <c r="BW28"/>
      <c r="BX28"/>
      <c r="BY28"/>
      <c r="BZ28" s="150"/>
    </row>
    <row r="29" spans="1:78" ht="18">
      <c r="B29" s="32" t="s">
        <v>143</v>
      </c>
      <c r="C29" s="157">
        <v>4.9999999999999997E-12</v>
      </c>
      <c r="D29" s="32" t="s">
        <v>225</v>
      </c>
      <c r="F29"/>
      <c r="G29"/>
      <c r="H29"/>
      <c r="I29" s="163"/>
      <c r="J29"/>
      <c r="K29"/>
      <c r="L29"/>
      <c r="M29"/>
      <c r="N29"/>
      <c r="BT29"/>
      <c r="BU29"/>
      <c r="BV29"/>
      <c r="BW29"/>
      <c r="BX29"/>
      <c r="BY29"/>
      <c r="BZ29" s="150"/>
    </row>
    <row r="30" spans="1:78" ht="18">
      <c r="B30" s="32" t="s">
        <v>144</v>
      </c>
      <c r="C30" s="162" cm="1">
        <f t="array" ref="C30">Vi*Fsw_s*0.0000000000011</f>
        <v>6.5999999999999995E-6</v>
      </c>
      <c r="D30" s="32" t="s">
        <v>8</v>
      </c>
      <c r="F30"/>
      <c r="G30"/>
      <c r="H30"/>
      <c r="I30"/>
      <c r="J30"/>
      <c r="K30"/>
      <c r="L30"/>
      <c r="M30"/>
      <c r="N30"/>
      <c r="BT30"/>
      <c r="BU30"/>
      <c r="BV30"/>
      <c r="BW30"/>
      <c r="BX30"/>
      <c r="BY30"/>
      <c r="BZ30" s="150"/>
    </row>
    <row r="31" spans="1:78">
      <c r="B31" s="32" t="s">
        <v>261</v>
      </c>
      <c r="C31" s="164">
        <f>Iramp/Cramp</f>
        <v>1320000</v>
      </c>
      <c r="D31" s="140" t="s">
        <v>227</v>
      </c>
      <c r="F31"/>
      <c r="G31"/>
      <c r="H31"/>
      <c r="I31"/>
      <c r="J31"/>
      <c r="K31"/>
      <c r="L31"/>
      <c r="M31"/>
      <c r="N31"/>
      <c r="Q31"/>
      <c r="BT31"/>
      <c r="BU31"/>
      <c r="BV31"/>
      <c r="BW31"/>
      <c r="BX31"/>
      <c r="BY31"/>
      <c r="BZ31" s="150"/>
    </row>
    <row r="32" spans="1:78">
      <c r="A32" s="192"/>
      <c r="B32" s="32" t="s">
        <v>262</v>
      </c>
      <c r="C32" s="162">
        <f>Se_p*Tp</f>
        <v>2.6399999999999997</v>
      </c>
      <c r="D32" s="32" t="s">
        <v>263</v>
      </c>
      <c r="F32"/>
      <c r="G32"/>
      <c r="H32"/>
      <c r="I32"/>
      <c r="J32"/>
      <c r="K32"/>
      <c r="L32"/>
      <c r="M32"/>
      <c r="N32" s="146"/>
      <c r="BT32"/>
      <c r="BU32"/>
      <c r="BV32"/>
      <c r="BW32"/>
      <c r="BX32"/>
      <c r="BY32"/>
      <c r="BZ32" s="150"/>
    </row>
    <row r="33" spans="1:104">
      <c r="B33" s="32"/>
      <c r="C33" s="157"/>
      <c r="F33"/>
      <c r="G33"/>
      <c r="H33"/>
      <c r="I33"/>
      <c r="J33"/>
      <c r="K33"/>
      <c r="L33" s="163"/>
      <c r="M33" s="163"/>
      <c r="N33"/>
      <c r="U33" s="195"/>
      <c r="BT33"/>
      <c r="BU33"/>
      <c r="BV33"/>
      <c r="BW33"/>
      <c r="BX33"/>
      <c r="BY33"/>
      <c r="BZ33" s="150"/>
      <c r="CC33" s="144"/>
    </row>
    <row r="34" spans="1:104">
      <c r="A34"/>
      <c r="B34" s="32" t="s">
        <v>218</v>
      </c>
      <c r="C34" s="148">
        <f>1/((Dp-0.5)*Ri*Tp/Lp+Vsl_p/Vi)</f>
        <v>5.435809070715286</v>
      </c>
      <c r="D34" s="32" t="s">
        <v>228</v>
      </c>
      <c r="F34"/>
      <c r="G34"/>
      <c r="H34"/>
      <c r="I34"/>
      <c r="J34"/>
      <c r="K34" s="135" t="s">
        <v>420</v>
      </c>
      <c r="L34" s="246"/>
      <c r="M34" s="256"/>
      <c r="N34"/>
      <c r="BT34"/>
      <c r="BU34"/>
      <c r="BV34"/>
      <c r="BW34"/>
      <c r="BX34"/>
      <c r="BY34"/>
      <c r="BZ34" s="150"/>
      <c r="CC34" s="144"/>
    </row>
    <row r="35" spans="1:104">
      <c r="A35"/>
      <c r="B35" s="32" t="s">
        <v>264</v>
      </c>
      <c r="C35" s="148">
        <f>Vi/Vsl_p</f>
        <v>4.5454545454545459</v>
      </c>
      <c r="D35" s="32" t="s">
        <v>228</v>
      </c>
      <c r="F35" s="87" t="s">
        <v>265</v>
      </c>
      <c r="G35"/>
      <c r="H35"/>
      <c r="I35"/>
      <c r="J35"/>
      <c r="K35" s="246">
        <f>Vi-Vo-Iomax*(DCRp+C17/1000)</f>
        <v>10.737</v>
      </c>
      <c r="L35" s="246" t="s">
        <v>421</v>
      </c>
      <c r="M35" s="256"/>
      <c r="N35"/>
      <c r="BS35"/>
      <c r="BT35"/>
      <c r="BU35"/>
      <c r="BV35"/>
      <c r="BW35"/>
      <c r="BX35"/>
      <c r="BY35"/>
      <c r="BZ35"/>
      <c r="CA35"/>
      <c r="CB35"/>
      <c r="CC35"/>
      <c r="CD35" s="234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U35"/>
      <c r="CV35"/>
      <c r="CW35"/>
    </row>
    <row r="36" spans="1:104">
      <c r="A36"/>
      <c r="B36" s="32"/>
      <c r="C36" s="165"/>
      <c r="F36" s="87"/>
      <c r="G36"/>
      <c r="H36"/>
      <c r="I36"/>
      <c r="J36"/>
      <c r="K36" s="246">
        <f>Vo+Iomax*(DCRp+C18/1000)</f>
        <v>1.2329999999999999</v>
      </c>
      <c r="L36" s="246" t="s">
        <v>422</v>
      </c>
      <c r="M36" s="256"/>
      <c r="N36"/>
      <c r="BS36" s="194"/>
      <c r="BT36"/>
      <c r="BU36"/>
      <c r="BV36"/>
      <c r="BW36"/>
      <c r="BX36"/>
      <c r="BY36"/>
      <c r="BZ36" s="150"/>
      <c r="CU36"/>
      <c r="CV36"/>
      <c r="CW36"/>
    </row>
    <row r="37" spans="1:104">
      <c r="A37" s="230"/>
      <c r="B37" s="32" t="s">
        <v>243</v>
      </c>
      <c r="C37" s="162">
        <f>PI()/Tp</f>
        <v>1570796.3267948967</v>
      </c>
      <c r="D37" s="192"/>
      <c r="E37" s="229"/>
      <c r="F37" s="231"/>
      <c r="G37" s="231"/>
      <c r="H37"/>
      <c r="I37"/>
      <c r="J37"/>
      <c r="K37" s="257">
        <f>K35*Ton_p/Lp</f>
        <v>10.114039387476108</v>
      </c>
      <c r="L37" s="309" t="s">
        <v>475</v>
      </c>
      <c r="M37" s="256"/>
      <c r="N37"/>
      <c r="BT37"/>
      <c r="BU37"/>
      <c r="BV37"/>
      <c r="BW37"/>
      <c r="BX37"/>
      <c r="BY37"/>
      <c r="BZ37" s="150"/>
      <c r="CG37"/>
      <c r="CH37"/>
      <c r="CI37"/>
      <c r="CJ37"/>
      <c r="CU37"/>
      <c r="CV37"/>
      <c r="CW37"/>
    </row>
    <row r="38" spans="1:104">
      <c r="A38" s="193"/>
      <c r="B38" s="140" t="s">
        <v>266</v>
      </c>
      <c r="C38" s="148">
        <f>-2/PI()</f>
        <v>-0.63661977236758138</v>
      </c>
      <c r="D38" s="193"/>
      <c r="E38" s="169"/>
      <c r="F38" s="231"/>
      <c r="G38" s="231"/>
      <c r="H38"/>
      <c r="I38"/>
      <c r="J38"/>
      <c r="K38" s="256"/>
      <c r="L38" s="256"/>
      <c r="M38" s="256"/>
      <c r="N38"/>
      <c r="O38" s="150"/>
      <c r="P38" s="150"/>
      <c r="Q38" s="150"/>
      <c r="R38" s="150"/>
      <c r="S38" s="150"/>
      <c r="T38" s="150"/>
      <c r="BT38"/>
      <c r="BU38"/>
      <c r="BV38"/>
      <c r="BW38"/>
      <c r="BX38"/>
      <c r="BY38"/>
      <c r="BZ38" s="150"/>
      <c r="CG38"/>
      <c r="CH38"/>
      <c r="CI38"/>
      <c r="CJ38"/>
      <c r="CU38"/>
      <c r="CV38"/>
      <c r="CW38"/>
    </row>
    <row r="39" spans="1:104">
      <c r="B39" s="32"/>
      <c r="C39" s="165"/>
      <c r="F39"/>
      <c r="G39"/>
      <c r="H39"/>
      <c r="I39"/>
      <c r="J39"/>
      <c r="K39" s="256"/>
      <c r="L39" s="256"/>
      <c r="M39" s="256"/>
      <c r="N39"/>
      <c r="BS39" s="135"/>
      <c r="BT39" s="135"/>
      <c r="CB39" s="87"/>
      <c r="CG39"/>
      <c r="CH39"/>
      <c r="CI39"/>
      <c r="CJ39"/>
      <c r="CP39" s="87"/>
      <c r="CU39"/>
      <c r="CV39"/>
      <c r="CW39"/>
    </row>
    <row r="40" spans="1:104">
      <c r="A40"/>
      <c r="B40" s="32" t="s">
        <v>220</v>
      </c>
      <c r="C40" s="42">
        <f>Vo/Iomax</f>
        <v>0.04</v>
      </c>
      <c r="D40" s="156" t="s">
        <v>224</v>
      </c>
      <c r="F40" s="153" t="s">
        <v>312</v>
      </c>
      <c r="G40"/>
      <c r="H40"/>
      <c r="I40"/>
      <c r="J40"/>
      <c r="K40" s="256"/>
      <c r="L40" s="256"/>
      <c r="M40" s="256"/>
      <c r="N40"/>
      <c r="O40"/>
      <c r="P40"/>
      <c r="Q40"/>
      <c r="BS40" s="135"/>
      <c r="BT40" s="135"/>
      <c r="CG40"/>
      <c r="CH40"/>
      <c r="CI40"/>
      <c r="CJ40"/>
    </row>
    <row r="41" spans="1:104">
      <c r="A41"/>
      <c r="B41" s="32" t="s">
        <v>275</v>
      </c>
      <c r="C41" s="167">
        <f>C18/1000</f>
        <v>8.0000000000000004E-4</v>
      </c>
      <c r="D41" s="156" t="s">
        <v>224</v>
      </c>
      <c r="E41"/>
      <c r="F41" s="168" t="s">
        <v>285</v>
      </c>
      <c r="G41"/>
      <c r="H41"/>
      <c r="I41"/>
      <c r="J41"/>
      <c r="K41"/>
      <c r="L41"/>
      <c r="M41"/>
      <c r="N41"/>
      <c r="O41"/>
      <c r="P41"/>
      <c r="Q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</row>
    <row r="42" spans="1:104">
      <c r="B42" s="32"/>
      <c r="C42" s="165"/>
      <c r="F42"/>
      <c r="G42"/>
      <c r="H42"/>
      <c r="I42"/>
      <c r="J42"/>
      <c r="K42"/>
      <c r="L42"/>
      <c r="M42"/>
      <c r="N42"/>
      <c r="O42"/>
      <c r="P42"/>
      <c r="Q42"/>
      <c r="R42"/>
      <c r="BS42" s="135" t="s">
        <v>335</v>
      </c>
      <c r="BT42" s="135" t="s">
        <v>339</v>
      </c>
      <c r="BY42" s="135"/>
      <c r="BZ42" s="135" t="s">
        <v>335</v>
      </c>
      <c r="CA42" s="135" t="s">
        <v>492</v>
      </c>
      <c r="CG42" s="135" t="s">
        <v>335</v>
      </c>
      <c r="CH42" s="135" t="s">
        <v>493</v>
      </c>
      <c r="CN42" s="135" t="s">
        <v>335</v>
      </c>
      <c r="CO42" s="135" t="s">
        <v>374</v>
      </c>
      <c r="CU42" s="135" t="s">
        <v>335</v>
      </c>
      <c r="CV42" s="135" t="s">
        <v>494</v>
      </c>
      <c r="CW42" s="135"/>
    </row>
    <row r="43" spans="1:104">
      <c r="B43" s="32"/>
      <c r="C43" s="165"/>
      <c r="F43"/>
      <c r="G43"/>
      <c r="H43"/>
      <c r="I43"/>
      <c r="J43"/>
      <c r="K43"/>
      <c r="L43"/>
      <c r="M43"/>
      <c r="N43"/>
      <c r="O43"/>
      <c r="P43"/>
      <c r="Q43"/>
      <c r="R43" s="146"/>
      <c r="S43" s="149"/>
      <c r="BS43" s="135" t="s">
        <v>370</v>
      </c>
      <c r="BT43" s="135" t="s">
        <v>378</v>
      </c>
      <c r="BU43" s="87"/>
      <c r="BV43" s="87"/>
      <c r="BW43" s="87"/>
      <c r="BX43" s="87"/>
      <c r="BY43" s="87"/>
      <c r="BZ43" s="135" t="s">
        <v>370</v>
      </c>
      <c r="CA43" s="135" t="s">
        <v>371</v>
      </c>
      <c r="CB43" s="87"/>
      <c r="CC43" s="87"/>
      <c r="CD43" s="87"/>
      <c r="CE43" s="87"/>
      <c r="CG43" s="135" t="s">
        <v>370</v>
      </c>
      <c r="CH43" s="135" t="s">
        <v>380</v>
      </c>
      <c r="CM43" s="149"/>
      <c r="CN43" s="135" t="s">
        <v>370</v>
      </c>
      <c r="CO43" s="135" t="s">
        <v>380</v>
      </c>
      <c r="CP43" s="87"/>
      <c r="CQ43" s="87"/>
      <c r="CR43" s="87"/>
      <c r="CS43" s="87"/>
      <c r="CT43" s="87"/>
      <c r="CU43" s="135" t="s">
        <v>370</v>
      </c>
      <c r="CV43" s="135" t="s">
        <v>495</v>
      </c>
      <c r="CW43" s="135"/>
      <c r="CX43" s="87"/>
      <c r="CY43" s="87"/>
    </row>
    <row r="44" spans="1:104">
      <c r="B44" s="32"/>
      <c r="C44" s="165"/>
      <c r="F44"/>
      <c r="G44"/>
      <c r="H44"/>
      <c r="I44"/>
      <c r="J44"/>
      <c r="K44"/>
      <c r="L44"/>
      <c r="M44"/>
      <c r="N44"/>
      <c r="O44"/>
      <c r="P44"/>
      <c r="Q44"/>
      <c r="W44" s="87"/>
      <c r="BL44"/>
      <c r="BS44" s="135" t="s">
        <v>372</v>
      </c>
      <c r="BT44" s="135" t="s">
        <v>379</v>
      </c>
      <c r="BU44" s="87"/>
      <c r="BV44" s="87"/>
      <c r="BW44" s="87"/>
      <c r="BX44" s="87"/>
      <c r="BY44" s="87"/>
      <c r="BZ44" s="135" t="s">
        <v>372</v>
      </c>
      <c r="CA44" s="135" t="s">
        <v>373</v>
      </c>
      <c r="CB44" s="87"/>
      <c r="CC44" s="87"/>
      <c r="CD44" s="87"/>
      <c r="CE44" s="87"/>
      <c r="CG44" s="135" t="s">
        <v>372</v>
      </c>
      <c r="CH44" s="135" t="s">
        <v>496</v>
      </c>
      <c r="CM44" s="149"/>
      <c r="CN44" s="135" t="s">
        <v>372</v>
      </c>
      <c r="CO44" s="64" t="s">
        <v>373</v>
      </c>
      <c r="CP44" s="87"/>
      <c r="CQ44" s="87"/>
      <c r="CR44" s="87"/>
      <c r="CS44" s="87"/>
      <c r="CT44" s="87"/>
      <c r="CU44" s="135" t="s">
        <v>372</v>
      </c>
      <c r="CV44" s="135" t="s">
        <v>496</v>
      </c>
      <c r="CW44" s="135"/>
      <c r="CX44" s="87"/>
      <c r="CY44" s="87"/>
    </row>
    <row r="45" spans="1:104">
      <c r="B45" s="32"/>
      <c r="C45" s="165"/>
      <c r="F45"/>
      <c r="G45"/>
      <c r="H45"/>
      <c r="I45"/>
      <c r="J45"/>
      <c r="K45"/>
      <c r="L45"/>
      <c r="M45"/>
      <c r="N45"/>
      <c r="O45"/>
      <c r="P45"/>
      <c r="Q45"/>
      <c r="BS45" s="135" t="s">
        <v>336</v>
      </c>
      <c r="BT45" s="135" t="s">
        <v>375</v>
      </c>
      <c r="BU45" s="87"/>
      <c r="BV45" s="87"/>
      <c r="BW45" s="87"/>
      <c r="BX45" s="87"/>
      <c r="BY45" s="87"/>
      <c r="BZ45" s="135" t="s">
        <v>336</v>
      </c>
      <c r="CA45" s="135" t="s">
        <v>497</v>
      </c>
      <c r="CB45" s="135"/>
      <c r="CC45" s="135"/>
      <c r="CD45" s="87"/>
      <c r="CE45" s="87"/>
      <c r="CG45" s="135" t="s">
        <v>336</v>
      </c>
      <c r="CH45" s="135" t="s">
        <v>498</v>
      </c>
      <c r="CM45" s="149"/>
      <c r="CN45" s="135" t="s">
        <v>336</v>
      </c>
      <c r="CO45" s="135" t="s">
        <v>382</v>
      </c>
      <c r="CP45" s="87"/>
      <c r="CQ45" s="87"/>
      <c r="CR45" s="87"/>
      <c r="CS45" s="87"/>
      <c r="CT45" s="87"/>
      <c r="CU45" s="135" t="s">
        <v>336</v>
      </c>
      <c r="CV45" s="135" t="s">
        <v>499</v>
      </c>
      <c r="CW45" s="135"/>
      <c r="CX45" s="87"/>
      <c r="CY45" s="87"/>
    </row>
    <row r="46" spans="1:104">
      <c r="B46" s="32"/>
      <c r="C46" s="165"/>
      <c r="F46"/>
      <c r="G46"/>
      <c r="H46"/>
      <c r="I46"/>
      <c r="J46"/>
      <c r="K46"/>
      <c r="L46"/>
      <c r="M46"/>
      <c r="N46"/>
      <c r="O46"/>
      <c r="T46" s="417"/>
      <c r="BS46" s="428" t="s">
        <v>346</v>
      </c>
      <c r="BT46" s="429"/>
      <c r="BU46" s="429"/>
      <c r="BV46" s="429"/>
      <c r="BW46" s="429"/>
      <c r="BX46" s="430"/>
      <c r="BZ46" s="439" t="s">
        <v>500</v>
      </c>
      <c r="CA46" s="440"/>
      <c r="CB46" s="440"/>
      <c r="CC46" s="440"/>
      <c r="CD46" s="440"/>
      <c r="CE46" s="441"/>
      <c r="CG46" s="442" t="s">
        <v>501</v>
      </c>
      <c r="CH46" s="443"/>
      <c r="CI46" s="443"/>
      <c r="CJ46" s="443"/>
      <c r="CK46" s="443"/>
      <c r="CL46" s="444"/>
      <c r="CN46" s="433" t="s">
        <v>345</v>
      </c>
      <c r="CO46" s="434"/>
      <c r="CP46" s="434"/>
      <c r="CQ46" s="434"/>
      <c r="CR46" s="434"/>
      <c r="CS46" s="435"/>
      <c r="CU46" s="445" t="s">
        <v>502</v>
      </c>
      <c r="CV46" s="446"/>
      <c r="CW46" s="446"/>
      <c r="CX46" s="446"/>
      <c r="CY46" s="446"/>
      <c r="CZ46" s="447"/>
    </row>
    <row r="47" spans="1:104">
      <c r="B47" s="32"/>
      <c r="C47" s="165"/>
      <c r="F47"/>
      <c r="G47"/>
      <c r="H47"/>
      <c r="I47" s="238"/>
      <c r="J47"/>
      <c r="K47"/>
      <c r="L47"/>
      <c r="M47"/>
      <c r="N47"/>
      <c r="O47" s="150"/>
      <c r="Q47" s="149"/>
      <c r="R47" s="149"/>
      <c r="T47" s="418"/>
      <c r="BS47" s="436" t="s">
        <v>337</v>
      </c>
      <c r="BT47" s="437"/>
      <c r="BU47" s="438"/>
      <c r="BV47" s="436" t="s">
        <v>338</v>
      </c>
      <c r="BW47" s="437"/>
      <c r="BX47" s="438"/>
      <c r="BZ47" s="436" t="s">
        <v>337</v>
      </c>
      <c r="CA47" s="437"/>
      <c r="CB47" s="438"/>
      <c r="CC47" s="436" t="s">
        <v>338</v>
      </c>
      <c r="CD47" s="437"/>
      <c r="CE47" s="438"/>
      <c r="CG47" s="436" t="s">
        <v>337</v>
      </c>
      <c r="CH47" s="437"/>
      <c r="CI47" s="438"/>
      <c r="CJ47" s="436" t="s">
        <v>338</v>
      </c>
      <c r="CK47" s="437"/>
      <c r="CL47" s="438"/>
      <c r="CN47" s="436" t="s">
        <v>337</v>
      </c>
      <c r="CO47" s="437"/>
      <c r="CP47" s="438"/>
      <c r="CQ47" s="436" t="s">
        <v>338</v>
      </c>
      <c r="CR47" s="437"/>
      <c r="CS47" s="438"/>
      <c r="CU47" s="436" t="s">
        <v>337</v>
      </c>
      <c r="CV47" s="437"/>
      <c r="CW47" s="438"/>
      <c r="CX47" s="436" t="s">
        <v>338</v>
      </c>
      <c r="CY47" s="437"/>
      <c r="CZ47" s="438"/>
    </row>
    <row r="48" spans="1:104">
      <c r="C48" s="174"/>
      <c r="D48" s="175"/>
      <c r="E48" s="175"/>
      <c r="F48"/>
      <c r="G48" s="413" t="s">
        <v>283</v>
      </c>
      <c r="H48" s="414"/>
      <c r="I48" s="414"/>
      <c r="J48" s="414"/>
      <c r="K48" s="414"/>
      <c r="L48" s="414"/>
      <c r="M48" s="414"/>
      <c r="N48" s="414"/>
      <c r="O48" s="414"/>
      <c r="P48" s="414"/>
      <c r="Q48" s="414"/>
      <c r="R48" s="414"/>
      <c r="S48" s="414"/>
      <c r="T48" s="414"/>
      <c r="U48" s="414"/>
      <c r="V48" s="414"/>
      <c r="W48" s="414"/>
      <c r="X48" s="414"/>
      <c r="Y48" s="414"/>
      <c r="Z48" s="414"/>
      <c r="AA48" s="415"/>
      <c r="AC48" s="410" t="s">
        <v>298</v>
      </c>
      <c r="AD48" s="411"/>
      <c r="AE48" s="411"/>
      <c r="AF48" s="411"/>
      <c r="AG48" s="411"/>
      <c r="AH48" s="411"/>
      <c r="AI48" s="411"/>
      <c r="AJ48" s="411"/>
      <c r="AK48" s="411"/>
      <c r="AL48" s="412"/>
      <c r="AN48" s="410" t="s">
        <v>297</v>
      </c>
      <c r="AO48" s="411"/>
      <c r="AP48" s="411"/>
      <c r="AQ48" s="411"/>
      <c r="AR48" s="412"/>
      <c r="AT48" s="410" t="s">
        <v>299</v>
      </c>
      <c r="AU48" s="411"/>
      <c r="AV48" s="411"/>
      <c r="AW48" s="411"/>
      <c r="AX48" s="411"/>
      <c r="AY48" s="411"/>
      <c r="AZ48" s="411"/>
      <c r="BA48" s="411"/>
      <c r="BB48" s="411"/>
      <c r="BC48" s="412"/>
      <c r="BE48" s="410" t="s">
        <v>300</v>
      </c>
      <c r="BF48" s="411"/>
      <c r="BG48" s="411"/>
      <c r="BH48" s="411"/>
      <c r="BI48" s="412"/>
      <c r="BO48" s="431" t="s">
        <v>347</v>
      </c>
      <c r="BP48" s="431"/>
      <c r="BQ48" s="431"/>
      <c r="BR48" s="432"/>
      <c r="BS48" s="425" t="s">
        <v>376</v>
      </c>
      <c r="BT48" s="426"/>
      <c r="BU48" s="427"/>
      <c r="BV48" s="425" t="s">
        <v>377</v>
      </c>
      <c r="BW48" s="426"/>
      <c r="BX48" s="427"/>
      <c r="BZ48" s="425" t="s">
        <v>503</v>
      </c>
      <c r="CA48" s="426"/>
      <c r="CB48" s="427"/>
      <c r="CC48" s="425" t="s">
        <v>504</v>
      </c>
      <c r="CD48" s="426"/>
      <c r="CE48" s="427"/>
      <c r="CG48" s="425" t="s">
        <v>505</v>
      </c>
      <c r="CH48" s="426"/>
      <c r="CI48" s="427"/>
      <c r="CJ48" s="425" t="s">
        <v>506</v>
      </c>
      <c r="CK48" s="426"/>
      <c r="CL48" s="427"/>
      <c r="CN48" s="425" t="s">
        <v>507</v>
      </c>
      <c r="CO48" s="426"/>
      <c r="CP48" s="427"/>
      <c r="CQ48" s="425" t="s">
        <v>381</v>
      </c>
      <c r="CR48" s="426"/>
      <c r="CS48" s="427"/>
      <c r="CU48" s="425" t="s">
        <v>508</v>
      </c>
      <c r="CV48" s="426"/>
      <c r="CW48" s="427"/>
      <c r="CX48" s="425" t="s">
        <v>509</v>
      </c>
      <c r="CY48" s="426"/>
      <c r="CZ48" s="427"/>
    </row>
    <row r="49" spans="2:104">
      <c r="B49" s="32"/>
      <c r="C49" s="165" t="s">
        <v>267</v>
      </c>
      <c r="D49" s="32" t="s">
        <v>268</v>
      </c>
      <c r="E49" s="32" t="s">
        <v>150</v>
      </c>
      <c r="F49"/>
      <c r="G49" s="140" t="s">
        <v>269</v>
      </c>
      <c r="H49" s="140" t="s">
        <v>270</v>
      </c>
      <c r="I49" s="140" t="s">
        <v>222</v>
      </c>
      <c r="J49" s="163"/>
      <c r="K49" s="140" t="s">
        <v>271</v>
      </c>
      <c r="L49" s="140" t="s">
        <v>273</v>
      </c>
      <c r="M49" s="140" t="s">
        <v>274</v>
      </c>
      <c r="N49" s="140" t="s">
        <v>272</v>
      </c>
      <c r="O49" s="140" t="s">
        <v>311</v>
      </c>
      <c r="P49" s="138"/>
      <c r="Q49" s="135" t="s">
        <v>277</v>
      </c>
      <c r="R49" s="135" t="s">
        <v>278</v>
      </c>
      <c r="S49" s="135" t="s">
        <v>276</v>
      </c>
      <c r="T49" s="135" t="s">
        <v>313</v>
      </c>
      <c r="U49" s="135" t="s">
        <v>232</v>
      </c>
      <c r="V49" s="141"/>
      <c r="W49" s="135" t="s">
        <v>229</v>
      </c>
      <c r="X49" s="64" t="s">
        <v>280</v>
      </c>
      <c r="Y49" s="188" t="s">
        <v>281</v>
      </c>
      <c r="Z49" s="64" t="s">
        <v>301</v>
      </c>
      <c r="AA49" s="64" t="s">
        <v>282</v>
      </c>
      <c r="AC49" s="64" t="s">
        <v>238</v>
      </c>
      <c r="AD49" s="64" t="s">
        <v>240</v>
      </c>
      <c r="AE49" s="64" t="s">
        <v>222</v>
      </c>
      <c r="AF49" s="64" t="s">
        <v>233</v>
      </c>
      <c r="AG49" s="64" t="s">
        <v>241</v>
      </c>
      <c r="AH49" s="64" t="s">
        <v>232</v>
      </c>
      <c r="AI49" s="64" t="s">
        <v>239</v>
      </c>
      <c r="AJ49" s="64" t="s">
        <v>230</v>
      </c>
      <c r="AK49" s="64" t="s">
        <v>231</v>
      </c>
      <c r="AL49" s="64" t="s">
        <v>242</v>
      </c>
      <c r="AN49" s="64" t="s">
        <v>239</v>
      </c>
      <c r="AO49" s="64" t="s">
        <v>230</v>
      </c>
      <c r="AP49" s="64" t="s">
        <v>231</v>
      </c>
      <c r="AQ49" s="64" t="s">
        <v>302</v>
      </c>
      <c r="AR49" s="64" t="s">
        <v>242</v>
      </c>
      <c r="AT49" s="64" t="s">
        <v>238</v>
      </c>
      <c r="AU49" s="64" t="s">
        <v>240</v>
      </c>
      <c r="AV49" s="64" t="s">
        <v>222</v>
      </c>
      <c r="AW49" s="64" t="s">
        <v>233</v>
      </c>
      <c r="AX49" s="64" t="s">
        <v>241</v>
      </c>
      <c r="AY49" s="64" t="s">
        <v>232</v>
      </c>
      <c r="AZ49" s="64" t="s">
        <v>239</v>
      </c>
      <c r="BA49" s="64" t="s">
        <v>230</v>
      </c>
      <c r="BB49" s="64" t="s">
        <v>231</v>
      </c>
      <c r="BC49" s="64" t="s">
        <v>242</v>
      </c>
      <c r="BE49" s="64" t="s">
        <v>239</v>
      </c>
      <c r="BF49" s="64" t="s">
        <v>230</v>
      </c>
      <c r="BG49" s="64" t="s">
        <v>231</v>
      </c>
      <c r="BH49" s="64" t="s">
        <v>302</v>
      </c>
      <c r="BI49" s="64" t="s">
        <v>242</v>
      </c>
      <c r="BS49" s="64" t="s">
        <v>332</v>
      </c>
      <c r="BT49" s="64" t="s">
        <v>333</v>
      </c>
      <c r="BU49" s="64" t="s">
        <v>334</v>
      </c>
      <c r="BV49" s="64" t="s">
        <v>267</v>
      </c>
      <c r="BW49" s="64" t="s">
        <v>239</v>
      </c>
      <c r="BX49" s="64" t="s">
        <v>302</v>
      </c>
      <c r="BZ49" s="64" t="s">
        <v>332</v>
      </c>
      <c r="CA49" s="64" t="s">
        <v>333</v>
      </c>
      <c r="CB49" s="64" t="s">
        <v>334</v>
      </c>
      <c r="CC49" s="64" t="s">
        <v>267</v>
      </c>
      <c r="CD49" s="64" t="s">
        <v>239</v>
      </c>
      <c r="CE49" s="64" t="s">
        <v>302</v>
      </c>
      <c r="CG49" s="64" t="s">
        <v>332</v>
      </c>
      <c r="CH49" s="64" t="s">
        <v>333</v>
      </c>
      <c r="CI49" s="64" t="s">
        <v>334</v>
      </c>
      <c r="CJ49" s="64" t="s">
        <v>267</v>
      </c>
      <c r="CK49" s="64" t="s">
        <v>239</v>
      </c>
      <c r="CL49" s="64" t="s">
        <v>302</v>
      </c>
      <c r="CN49" s="64" t="s">
        <v>332</v>
      </c>
      <c r="CO49" s="64" t="s">
        <v>333</v>
      </c>
      <c r="CP49" s="64" t="s">
        <v>334</v>
      </c>
      <c r="CQ49" s="64" t="s">
        <v>267</v>
      </c>
      <c r="CR49" s="64" t="s">
        <v>239</v>
      </c>
      <c r="CS49" s="64" t="s">
        <v>302</v>
      </c>
      <c r="CU49" s="64" t="s">
        <v>332</v>
      </c>
      <c r="CV49" s="64" t="s">
        <v>333</v>
      </c>
      <c r="CW49" s="64" t="s">
        <v>334</v>
      </c>
      <c r="CX49" s="64" t="s">
        <v>267</v>
      </c>
      <c r="CY49" s="64" t="s">
        <v>239</v>
      </c>
      <c r="CZ49" s="64" t="s">
        <v>302</v>
      </c>
    </row>
    <row r="50" spans="2:104">
      <c r="B50" s="153">
        <v>1</v>
      </c>
      <c r="C50" s="139">
        <f>10^B50</f>
        <v>10</v>
      </c>
      <c r="D50" s="139">
        <f>2*PI()*C50</f>
        <v>62.831853071795862</v>
      </c>
      <c r="E50" s="32" t="str">
        <f>COMPLEX(0,D50)</f>
        <v>62.8318530717959i</v>
      </c>
      <c r="F50"/>
      <c r="G50" s="153" t="str">
        <f t="shared" ref="G50:G81" si="0">IMPRODUCT(Ro_p,IMSUM(1,IMPRODUCT(AF200*AC200,E50)))</f>
        <v>0.04+4.43498736116524E-06i</v>
      </c>
      <c r="H50" s="153" t="str">
        <f t="shared" ref="H50:H81" si="1">IMSUM(1,IMPRODUCT((Ro_p+AC200)*AF200,E50))</f>
        <v>1+0.00202920654527965i</v>
      </c>
      <c r="I50" s="153" t="str">
        <f>IMDIV(G50,H50)</f>
        <v>0.0399998442929784-0.0000767329584883134i</v>
      </c>
      <c r="J50" s="146"/>
      <c r="K50" s="153" t="str">
        <f>G50</f>
        <v>0.04+4.43498736116524E-06i</v>
      </c>
      <c r="L50" s="153" t="str">
        <f t="shared" ref="L50:L81" si="2">IMPRODUCT(Km,H50)</f>
        <v>5.43580907071529+0.0110303793451859i</v>
      </c>
      <c r="M50" s="153" t="str">
        <f>IMDIV(K50,L50)</f>
        <v>0.00735858154188533-0.0000141161982494385i</v>
      </c>
      <c r="N50" s="153" t="str">
        <f t="shared" ref="N50:N81" si="3">IMSUM((Rs_p+DCRp),IMPRODUCT(Lp,E50))</f>
        <v>0.0011+0.0000138230076757951i</v>
      </c>
      <c r="O50" s="135" t="str">
        <f t="shared" ref="O50:O81" si="4">IMPRODUCT((1/Np/Kmp),N50)</f>
        <v>0.000242+3.04106168867492E-06i</v>
      </c>
      <c r="P50" s="149"/>
      <c r="Q50" s="135" t="str">
        <f t="shared" ref="Q50:Q81" si="5">IMDIV(E50,(Wn*Qz))</f>
        <v>-0.0000628318530717959i</v>
      </c>
      <c r="R50" s="135" t="str">
        <f t="shared" ref="R50:R81" si="6">IMDIV(IMPRODUCT(E50,E50),IMPRODUCT(Wn,Wn))</f>
        <v>-0.0000000016</v>
      </c>
      <c r="S50" s="135" t="str">
        <f>IMSUM(1,Q50,R50)</f>
        <v>0.9999999984-0.0000628318530717959i</v>
      </c>
      <c r="T50" s="135" t="str">
        <f t="shared" ref="T50:T81" si="7">IMPRODUCT(Ri/Np,S50)</f>
        <v>0.009999999984-6.28318530717959E-07i</v>
      </c>
      <c r="U50" s="135" t="str">
        <f>IMSUM(T50,O50,M50)</f>
        <v>0.0176005815258853-0.0000117034550914815i</v>
      </c>
      <c r="V50" s="149"/>
      <c r="W50" s="135" t="str">
        <f>IMDIV(I50,U50)</f>
        <v>2.27264522887361-0.00284849435455228i</v>
      </c>
      <c r="X50" s="172">
        <f>IMABS(W50)</f>
        <v>2.2726470139997703</v>
      </c>
      <c r="Y50" s="188">
        <f>20*LOG10(X50)</f>
        <v>7.130639732742365</v>
      </c>
      <c r="Z50" s="161">
        <f>180*IMARGUMENT(W50)/PI()</f>
        <v>-7.1813504785112767E-2</v>
      </c>
      <c r="AA50" s="161">
        <f t="shared" ref="AA50:AA113" si="8">IF(Z50&lt;0,Z50,-1*Z50)</f>
        <v>-7.1813504785112767E-2</v>
      </c>
      <c r="AB50" s="199"/>
      <c r="AC50" s="64" t="str">
        <f t="shared" ref="AC50:AC81" si="9">COMPLEX(0,-1/D50/_C1u)</f>
        <v>-1591549430.91895i</v>
      </c>
      <c r="AD50" s="64" t="str">
        <f t="shared" ref="AD50:AD81" si="10">COMPLEX(_R2u, -1/D50/_C2u)</f>
        <v>22000-159154943.091895i</v>
      </c>
      <c r="AE50" s="64" t="str">
        <f>IMDIV(IMPRODUCT(AC50,AD50),IMSUM(AC50,AD50))</f>
        <v>18181.818178947-144686312.130202i</v>
      </c>
      <c r="AF50" s="64" t="str">
        <f t="shared" ref="AF50:AF81" si="11">COMPLEX(_R1u,0)</f>
        <v>10000</v>
      </c>
      <c r="AG50" s="64" t="str">
        <f t="shared" ref="AG50:AG81" si="12">COMPLEX(_R3u,-1/D50/_C3u)</f>
        <v>-40808959.7671527i</v>
      </c>
      <c r="AH50" s="64" t="str">
        <f>IMDIV(IMPRODUCT(AF50,AG50),IMSUM(AF50,AG50))</f>
        <v>9999.9993995333-2.45044212265914i</v>
      </c>
      <c r="AI50" s="64" t="str">
        <f>IMDIV(AE50,AH50)</f>
        <v>5.36363636894799-14468.6307674852i</v>
      </c>
      <c r="AJ50" s="161">
        <f>IMABS(AI50)</f>
        <v>14468.63176165647</v>
      </c>
      <c r="AK50" s="161">
        <f>20*LOG10(AJ50)</f>
        <v>83.208549272749764</v>
      </c>
      <c r="AL50" s="161">
        <f>180*IMARGUMENT(AI50)/PI()</f>
        <v>-89.978760000331434</v>
      </c>
      <c r="AN50" s="64" t="str">
        <f>IMPRODUCT(AI50,W50)</f>
        <v>-29.0241704559804-32882.0799603471i</v>
      </c>
      <c r="AO50" s="161">
        <f>IMABS(AN50)</f>
        <v>32882.092769790841</v>
      </c>
      <c r="AP50" s="161">
        <f>20*LOG10(AO50)</f>
        <v>90.33918900549213</v>
      </c>
      <c r="AQ50" s="161">
        <f>180*IMARGUMENT(AN50)/PI()</f>
        <v>-90.050573505116532</v>
      </c>
      <c r="AR50" s="64">
        <f>IF(AQ50&gt;0,AQ50-180,AQ50+180)</f>
        <v>89.949426494883468</v>
      </c>
      <c r="AT50" s="135" t="str">
        <f t="shared" ref="AT50:AT81" si="13">COMPLEX(0,-1/D50/_C1c)</f>
        <v>-498063967.572582i</v>
      </c>
      <c r="AU50" s="135" t="str">
        <f t="shared" ref="AU50:AU81" si="14">COMPLEX(_R2c, -1/D50/_C2c)</f>
        <v>27456.1383070198-89149766.6980197i</v>
      </c>
      <c r="AV50" s="135" t="str">
        <f>IMDIV(IMPRODUCT(AT50,AU50),IMSUM(AT50,AU50))</f>
        <v>19752.2826333682-75615205.2663766i</v>
      </c>
      <c r="AW50" s="135" t="str">
        <f t="shared" ref="AW50:AW81" si="15">COMPLEX(_R1c,0)</f>
        <v>10000</v>
      </c>
      <c r="AX50" s="135" t="str">
        <f t="shared" ref="AX50:AX81" si="16">COMPLEX(_R3c,-1/D50/_C3c)</f>
        <v>1789.92604368691-38281754.8640067i</v>
      </c>
      <c r="AY50" s="135" t="str">
        <f>IMDIV(IMPRODUCT(AW50,AX50),IMSUM(AW50,AX50))</f>
        <v>9999.99919549756-2.61221019961647i</v>
      </c>
      <c r="AZ50" s="135" t="str">
        <f>IMDIV(AV50,AY50)</f>
        <v>3.95045657492379-7561.5201030215i</v>
      </c>
      <c r="BA50" s="182">
        <f>IMABS(AZ50)</f>
        <v>7561.5211349638794</v>
      </c>
      <c r="BB50" s="182">
        <f>20*LOG10(BA50)</f>
        <v>77.572183407560587</v>
      </c>
      <c r="BC50" s="182">
        <f>180*IMARGUMENT(AZ50)/PI()</f>
        <v>-89.970066274344859</v>
      </c>
      <c r="BE50" s="135" t="str">
        <f>IMPRODUCT(AZ50,W50)</f>
        <v>-12.5609610384174-17184.663838017i</v>
      </c>
      <c r="BF50" s="161">
        <f>IMABS(BE50)</f>
        <v>17184.668428671859</v>
      </c>
      <c r="BG50" s="161">
        <f>20*LOG10(BF50)</f>
        <v>84.702823140302982</v>
      </c>
      <c r="BH50" s="161">
        <f>180*IMARGUMENT(BE50)/PI()</f>
        <v>-90.041879779129985</v>
      </c>
      <c r="BI50" s="64">
        <f>IF(BH50&gt;0,BH50-180,BH50+180)</f>
        <v>89.958120220870015</v>
      </c>
      <c r="BS50" s="64">
        <v>100</v>
      </c>
      <c r="BT50" s="64">
        <v>10.8944593154852</v>
      </c>
      <c r="BU50" s="64">
        <v>-0.55325926188929297</v>
      </c>
      <c r="BV50" s="186">
        <v>10</v>
      </c>
      <c r="BW50" s="64">
        <v>10.644007890744934</v>
      </c>
      <c r="BX50" s="64">
        <v>-5.407256792122786E-2</v>
      </c>
      <c r="BZ50" s="64">
        <v>100</v>
      </c>
      <c r="CA50" s="64">
        <v>6.7866222707325603</v>
      </c>
      <c r="CB50" s="64">
        <v>-0.83977290868980903</v>
      </c>
      <c r="CC50" s="186">
        <v>10</v>
      </c>
      <c r="CD50" s="64">
        <v>7.0597574321626224</v>
      </c>
      <c r="CE50" s="64">
        <v>-8.6227794160076282E-2</v>
      </c>
      <c r="CG50" s="64">
        <v>100</v>
      </c>
      <c r="CH50" s="64">
        <v>10.442788841965999</v>
      </c>
      <c r="CI50" s="64">
        <v>-0.78202426873220099</v>
      </c>
      <c r="CJ50" s="64">
        <v>10</v>
      </c>
      <c r="CK50" s="64">
        <v>11.047270270047395</v>
      </c>
      <c r="CL50" s="64">
        <v>-8.263642957455529E-2</v>
      </c>
      <c r="CN50" s="64">
        <v>100</v>
      </c>
      <c r="CO50" s="64">
        <v>7.3003496393402401</v>
      </c>
      <c r="CP50" s="64">
        <v>-0.90363051877180101</v>
      </c>
      <c r="CQ50" s="186">
        <v>10</v>
      </c>
      <c r="CR50" s="64">
        <v>7.1193941092357704</v>
      </c>
      <c r="CS50" s="64">
        <v>-8.9201017433354346E-2</v>
      </c>
      <c r="CU50" s="64">
        <v>100</v>
      </c>
      <c r="CV50" s="64">
        <v>4.7496095880993803</v>
      </c>
      <c r="CW50" s="64">
        <v>-0.68154060611550804</v>
      </c>
      <c r="CX50" s="139">
        <v>10</v>
      </c>
      <c r="CY50" s="64">
        <v>5.0092826536998691</v>
      </c>
      <c r="CZ50" s="64">
        <v>-6.9822774742502272E-2</v>
      </c>
    </row>
    <row r="51" spans="2:104">
      <c r="B51" s="153">
        <v>1.7</v>
      </c>
      <c r="C51" s="139">
        <f t="shared" ref="C51:C114" si="17">10^B51</f>
        <v>50.118723362727238</v>
      </c>
      <c r="D51" s="139">
        <f t="shared" ref="D51:D114" si="18">2*PI()*C51</f>
        <v>314.90522624728607</v>
      </c>
      <c r="E51" s="32" t="str">
        <f t="shared" ref="E51:E114" si="19">COMPLEX(0,D51)</f>
        <v>314.905226247286i</v>
      </c>
      <c r="F51"/>
      <c r="G51" s="153" t="str">
        <f t="shared" si="0"/>
        <v>0.04+0.0000222275855999502i</v>
      </c>
      <c r="H51" s="153" t="str">
        <f t="shared" si="1"/>
        <v>1+0.010170122666667i</v>
      </c>
      <c r="I51" t="str">
        <f t="shared" ref="I51:I77" si="20">IMDIV(G51,H51)</f>
        <v>0.0399960892059688-0.000384537547811709i</v>
      </c>
      <c r="J51"/>
      <c r="K51" t="str">
        <f t="shared" ref="K51:K77" si="21">G51</f>
        <v>0.04+0.0000222275855999502i</v>
      </c>
      <c r="L51" t="str">
        <f t="shared" si="2"/>
        <v>5.43580907071529+0.0552828450417556i</v>
      </c>
      <c r="M51" t="str">
        <f t="shared" ref="M51:M77" si="22">IMDIV(K51,L51)</f>
        <v>0.00735789073634733-0.0000707415479111203i</v>
      </c>
      <c r="N51" s="153" t="str">
        <f t="shared" si="3"/>
        <v>0.0011+0.0000692791497744029i</v>
      </c>
      <c r="O51" s="135" t="str">
        <f t="shared" si="4"/>
        <v>0.000242+0.0000152414129503686i</v>
      </c>
      <c r="Q51" s="135" t="str">
        <f t="shared" si="5"/>
        <v>-0.000314905226247286i</v>
      </c>
      <c r="R51" s="135" t="str">
        <f t="shared" si="6"/>
        <v>-4.01901829041533E-08</v>
      </c>
      <c r="S51" s="64" t="str">
        <f t="shared" ref="S51:S77" si="23">IMSUM(1,Q51,R51)</f>
        <v>0.999999959809817-0.000314905226247286i</v>
      </c>
      <c r="T51" s="135" t="str">
        <f t="shared" si="7"/>
        <v>0.00999999959809817-3.14905226247286E-06i</v>
      </c>
      <c r="U51" s="64" t="str">
        <f t="shared" ref="U51:U77" si="24">IMSUM(T51,O51,M51)</f>
        <v>0.0175998903344455-0.0000586491872232246i</v>
      </c>
      <c r="W51" s="64" t="str">
        <f t="shared" ref="W51:W77" si="25">IMDIV(I51,U51)</f>
        <v>2.27256680085939-0.0142758475908843i</v>
      </c>
      <c r="X51" s="172">
        <f t="shared" ref="X51:X114" si="26">IMABS(W51)</f>
        <v>2.2726116395444076</v>
      </c>
      <c r="Y51" s="188">
        <f t="shared" ref="Y51:Y114" si="27">20*LOG10(X51)</f>
        <v>7.1305045331250438</v>
      </c>
      <c r="Z51" s="161">
        <f t="shared" ref="Z51:Z114" si="28">180*IMARGUMENT(W51)/PI()</f>
        <v>-0.35991683801283775</v>
      </c>
      <c r="AA51" s="161">
        <f t="shared" si="8"/>
        <v>-0.35991683801283775</v>
      </c>
      <c r="AB51" s="199"/>
      <c r="AC51" s="64" t="str">
        <f t="shared" si="9"/>
        <v>-317555860.192275i</v>
      </c>
      <c r="AD51" s="64" t="str">
        <f t="shared" si="10"/>
        <v>22000-31755586.0192275i</v>
      </c>
      <c r="AE51" s="64" t="str">
        <f t="shared" ref="AE51:AE114" si="29">IMDIV(IMPRODUCT(AC51,AD51),IMSUM(AC51,AD51))</f>
        <v>18181.818109698-28868715.7080441i</v>
      </c>
      <c r="AF51" s="64" t="str">
        <f t="shared" si="11"/>
        <v>10000</v>
      </c>
      <c r="AG51" s="64" t="str">
        <f t="shared" si="12"/>
        <v>-8142457.95364808i</v>
      </c>
      <c r="AH51" s="64" t="str">
        <f t="shared" ref="AH51:AH114" si="30">IMDIV(IMPRODUCT(AF51,AG51),IMSUM(AF51,AG51))</f>
        <v>9999.98491698039-12.2812852997295i</v>
      </c>
      <c r="AI51" s="64" t="str">
        <f t="shared" ref="AI51:AI114" si="31">IMDIV(AE51,AH51)</f>
        <v>5.36363649705878-2886.86933784009i</v>
      </c>
      <c r="AJ51" s="161">
        <f t="shared" ref="AJ51:AJ114" si="32">IMABS(AI51)</f>
        <v>2886.8743204992056</v>
      </c>
      <c r="AK51" s="161">
        <f t="shared" ref="AK51:AK114" si="33">20*LOG10(AJ51)</f>
        <v>69.208557547363128</v>
      </c>
      <c r="AL51" s="161">
        <f t="shared" ref="AL51:AL114" si="34">180*IMARGUMENT(AI51)/PI()</f>
        <v>-89.893547873301401</v>
      </c>
      <c r="AN51" s="64" t="str">
        <f t="shared" ref="AN51:AN114" si="35">IMPRODUCT(AI51,W51)</f>
        <v>-29.0232844467087-6560.67998605148i</v>
      </c>
      <c r="AO51" s="161">
        <f t="shared" ref="AO51:AO114" si="36">IMABS(AN51)</f>
        <v>6560.7441826683444</v>
      </c>
      <c r="AP51" s="161">
        <f t="shared" ref="AP51:AP114" si="37">20*LOG10(AO51)</f>
        <v>76.339062080488162</v>
      </c>
      <c r="AQ51" s="161">
        <f t="shared" ref="AQ51:AQ114" si="38">180*IMARGUMENT(AN51)/PI()</f>
        <v>-90.253464711314237</v>
      </c>
      <c r="AR51" s="64">
        <f t="shared" ref="AR51:AR114" si="39">IF(AQ51&gt;0,AQ51-180,AQ51+180)</f>
        <v>89.746535288685763</v>
      </c>
      <c r="AT51" s="135" t="str">
        <f t="shared" si="13"/>
        <v>-99376826.4941454i</v>
      </c>
      <c r="AU51" s="135" t="str">
        <f t="shared" si="14"/>
        <v>27456.1383070198-17787716.9880826i</v>
      </c>
      <c r="AV51" s="135" t="str">
        <f t="shared" ref="AV51:AV114" si="40">IMDIV(IMPRODUCT(AT51,AU51),IMSUM(AT51,AU51))</f>
        <v>19752.281591865-15087221.3951071i</v>
      </c>
      <c r="AW51" s="135" t="str">
        <f t="shared" si="15"/>
        <v>10000</v>
      </c>
      <c r="AX51" s="135" t="str">
        <f t="shared" si="16"/>
        <v>1789.92604368691-7638214.28310292i</v>
      </c>
      <c r="AY51" s="135" t="str">
        <f t="shared" ref="AY51:AY114" si="41">IMDIV(IMPRODUCT(AW51,AX51),IMSUM(AW51,AX51))</f>
        <v>9999.97979185869-13.0920340856011i</v>
      </c>
      <c r="AZ51" s="135" t="str">
        <f t="shared" ref="AZ51:AZ114" si="42">IMDIV(AV51,AY51)</f>
        <v>3.95045753036192-1508.72001640097i</v>
      </c>
      <c r="BA51" s="182">
        <f t="shared" ref="BA51:BA114" si="43">IMABS(AZ51)</f>
        <v>1508.7251883638858</v>
      </c>
      <c r="BB51" s="182">
        <f t="shared" ref="BB51:BB114" si="44">20*LOG10(BA51)</f>
        <v>63.572202820083191</v>
      </c>
      <c r="BC51" s="182">
        <f t="shared" ref="BC51:BC114" si="45">180*IMARGUMENT(AZ51)/PI()</f>
        <v>-89.849976122874821</v>
      </c>
      <c r="BE51" s="135" t="str">
        <f t="shared" ref="BE51:BE114" si="46">IMPRODUCT(AZ51,W51)</f>
        <v>-12.5605783797512-3428.7234171945i</v>
      </c>
      <c r="BF51" s="161">
        <f t="shared" ref="BF51:BF114" si="47">IMABS(BE51)</f>
        <v>3428.7464239495989</v>
      </c>
      <c r="BG51" s="161">
        <f t="shared" ref="BG51:BG114" si="48">20*LOG10(BF51)</f>
        <v>70.70270735320824</v>
      </c>
      <c r="BH51" s="161">
        <f t="shared" ref="BH51:BH114" si="49">180*IMARGUMENT(BE51)/PI()</f>
        <v>-90.209892960887643</v>
      </c>
      <c r="BI51" s="64">
        <f t="shared" ref="BI51:BI114" si="50">IF(BH51&gt;0,BH51-180,BH51+180)</f>
        <v>89.790107039112357</v>
      </c>
      <c r="BS51" s="64">
        <v>109.647819614318</v>
      </c>
      <c r="BT51" s="64">
        <v>10.8944253001451</v>
      </c>
      <c r="BU51" s="64">
        <v>-0.60663671718905798</v>
      </c>
      <c r="BV51" s="186">
        <v>50.118723362727238</v>
      </c>
      <c r="BW51" s="64">
        <v>10.643973952229835</v>
      </c>
      <c r="BX51" s="64">
        <v>-0.27100499901012381</v>
      </c>
      <c r="BZ51" s="64">
        <v>109.647819614318</v>
      </c>
      <c r="CA51" s="64">
        <v>6.7864533934451696</v>
      </c>
      <c r="CB51" s="64">
        <v>-0.92078145951983403</v>
      </c>
      <c r="CC51" s="186">
        <v>50.118723362727238</v>
      </c>
      <c r="CD51" s="64">
        <v>7.0595418449267484</v>
      </c>
      <c r="CE51" s="64">
        <v>-0.43215590413914079</v>
      </c>
      <c r="CG51" s="64">
        <v>109.647819614318</v>
      </c>
      <c r="CH51" s="64">
        <v>10.442881313520401</v>
      </c>
      <c r="CI51" s="64">
        <v>-0.85748733739624206</v>
      </c>
      <c r="CJ51" s="64">
        <v>50.118723362727238</v>
      </c>
      <c r="CK51" s="64">
        <v>11.047356303439869</v>
      </c>
      <c r="CL51" s="64">
        <v>-0.41417087786246876</v>
      </c>
      <c r="CN51" s="64">
        <v>109.647819614318</v>
      </c>
      <c r="CO51" s="64">
        <v>7.3001639921786801</v>
      </c>
      <c r="CP51" s="64">
        <v>-0.99079836377402597</v>
      </c>
      <c r="CQ51" s="186">
        <v>50.118723362727238</v>
      </c>
      <c r="CR51" s="64">
        <v>7.1191833569627425</v>
      </c>
      <c r="CS51" s="64">
        <v>-0.447057674080933</v>
      </c>
      <c r="CU51" s="64">
        <v>109.647819614318</v>
      </c>
      <c r="CV51" s="64">
        <v>4.7495055258307399</v>
      </c>
      <c r="CW51" s="64">
        <v>-0.74728903402649205</v>
      </c>
      <c r="CX51" s="139">
        <v>50.118723362727238</v>
      </c>
      <c r="CY51" s="64">
        <v>5.0091499181950914</v>
      </c>
      <c r="CZ51" s="64">
        <v>-0.34993958004206199</v>
      </c>
    </row>
    <row r="52" spans="2:104">
      <c r="B52" s="135">
        <v>2</v>
      </c>
      <c r="C52" s="139">
        <f t="shared" si="17"/>
        <v>100</v>
      </c>
      <c r="D52" s="139">
        <f t="shared" si="18"/>
        <v>628.31853071795865</v>
      </c>
      <c r="E52" s="32" t="str">
        <f t="shared" si="19"/>
        <v>628.318530717959i</v>
      </c>
      <c r="F52"/>
      <c r="G52" s="153" t="str">
        <f t="shared" si="0"/>
        <v>0.04+0.0000443498337499364i</v>
      </c>
      <c r="H52" s="153" t="str">
        <f t="shared" si="1"/>
        <v>1+0.0202920533137145i</v>
      </c>
      <c r="I52" t="str">
        <f t="shared" si="20"/>
        <v>0.0399844356609713-0.00076701646640128i</v>
      </c>
      <c r="J52"/>
      <c r="K52" t="str">
        <f t="shared" si="21"/>
        <v>0.04+0.0000443498337499364i</v>
      </c>
      <c r="L52" t="str">
        <f t="shared" si="2"/>
        <v>5.43580907071529+0.110303727466127i</v>
      </c>
      <c r="M52" t="str">
        <f t="shared" si="22"/>
        <v>0.00735574688897412-0.000141104379573131i</v>
      </c>
      <c r="N52" s="153" t="str">
        <f t="shared" si="3"/>
        <v>0.0011+0.000138230076757951i</v>
      </c>
      <c r="O52" s="135" t="str">
        <f t="shared" si="4"/>
        <v>0.000242+0.0000304106168867492i</v>
      </c>
      <c r="Q52" s="135" t="str">
        <f t="shared" si="5"/>
        <v>-0.000628318530717959i</v>
      </c>
      <c r="R52" s="135" t="str">
        <f t="shared" si="6"/>
        <v>-0.00000016</v>
      </c>
      <c r="S52" s="64" t="str">
        <f t="shared" si="23"/>
        <v>0.99999984-0.000628318530717959i</v>
      </c>
      <c r="T52" s="135" t="str">
        <f t="shared" si="7"/>
        <v>0.0099999984-6.28318530717959E-06i</v>
      </c>
      <c r="U52" s="64" t="str">
        <f t="shared" si="24"/>
        <v>0.0175977452889741-0.000116976947993561i</v>
      </c>
      <c r="W52" s="64" t="str">
        <f t="shared" si="25"/>
        <v>2.27232333814556-0.0284813201475591i</v>
      </c>
      <c r="X52" s="172">
        <f t="shared" si="26"/>
        <v>2.2725018236908694</v>
      </c>
      <c r="Y52" s="188">
        <f t="shared" si="27"/>
        <v>7.1300848083405057</v>
      </c>
      <c r="Z52" s="161">
        <f t="shared" si="28"/>
        <v>-0.71810818658284459</v>
      </c>
      <c r="AA52" s="161">
        <f t="shared" si="8"/>
        <v>-0.71810818658284459</v>
      </c>
      <c r="AB52" s="199"/>
      <c r="AC52" s="64" t="str">
        <f t="shared" si="9"/>
        <v>-159154943.091895i</v>
      </c>
      <c r="AD52" s="64" t="str">
        <f t="shared" si="10"/>
        <v>22000-15915494.3091895i</v>
      </c>
      <c r="AE52" s="64" t="str">
        <f t="shared" si="29"/>
        <v>18181.8178947024-14468633.4749668i</v>
      </c>
      <c r="AF52" s="64" t="str">
        <f t="shared" si="11"/>
        <v>10000</v>
      </c>
      <c r="AG52" s="64" t="str">
        <f t="shared" si="12"/>
        <v>-4080895.97671526i</v>
      </c>
      <c r="AH52" s="64" t="str">
        <f t="shared" si="30"/>
        <v>9999.93995368738-24.5042755579778i</v>
      </c>
      <c r="AI52" s="64" t="str">
        <f t="shared" si="31"/>
        <v>5.36363689480049-1446.85889214717i</v>
      </c>
      <c r="AJ52" s="161">
        <f t="shared" si="32"/>
        <v>1446.868833856779</v>
      </c>
      <c r="AK52" s="161">
        <f t="shared" si="33"/>
        <v>63.208583237250011</v>
      </c>
      <c r="AL52" s="161">
        <f t="shared" si="34"/>
        <v>-89.787600331423405</v>
      </c>
      <c r="AN52" s="64" t="str">
        <f t="shared" si="35"/>
        <v>-29.0205340221925-3287.883991089i</v>
      </c>
      <c r="AO52" s="161">
        <f t="shared" si="36"/>
        <v>3288.0120635810122</v>
      </c>
      <c r="AP52" s="161">
        <f t="shared" si="37"/>
        <v>70.338668045590509</v>
      </c>
      <c r="AQ52" s="161">
        <f t="shared" si="38"/>
        <v>-90.505708518006259</v>
      </c>
      <c r="AR52" s="64">
        <f t="shared" si="39"/>
        <v>89.494291481993741</v>
      </c>
      <c r="AT52" s="135" t="str">
        <f t="shared" si="13"/>
        <v>-49806396.7572582i</v>
      </c>
      <c r="AU52" s="135" t="str">
        <f t="shared" si="14"/>
        <v>27456.1383070198-8914976.66980197i</v>
      </c>
      <c r="AV52" s="135" t="str">
        <f t="shared" si="40"/>
        <v>19752.2783583409-7561529.66978335i</v>
      </c>
      <c r="AW52" s="135" t="str">
        <f t="shared" si="15"/>
        <v>10000</v>
      </c>
      <c r="AX52" s="135" t="str">
        <f t="shared" si="16"/>
        <v>1789.92604368691-3828175.48640067i</v>
      </c>
      <c r="AY52" s="135" t="str">
        <f t="shared" si="41"/>
        <v>9999.91955051178-26.1218567073854i</v>
      </c>
      <c r="AZ52" s="135" t="str">
        <f t="shared" si="42"/>
        <v>3.95046049668142-756.148730819874i</v>
      </c>
      <c r="BA52" s="182">
        <f t="shared" si="43"/>
        <v>756.15905023919549</v>
      </c>
      <c r="BB52" s="182">
        <f t="shared" si="44"/>
        <v>57.572263089287361</v>
      </c>
      <c r="BC52" s="182">
        <f t="shared" si="45"/>
        <v>-89.700663844225929</v>
      </c>
      <c r="BE52" s="135" t="str">
        <f t="shared" si="46"/>
        <v>-12.55939049862-1718.32692248128i</v>
      </c>
      <c r="BF52" s="161">
        <f t="shared" si="47"/>
        <v>1718.3728206689268</v>
      </c>
      <c r="BG52" s="161">
        <f t="shared" si="48"/>
        <v>64.70234789762786</v>
      </c>
      <c r="BH52" s="161">
        <f t="shared" si="49"/>
        <v>-90.418772030808768</v>
      </c>
      <c r="BI52" s="64">
        <f t="shared" si="50"/>
        <v>89.581227969191232</v>
      </c>
      <c r="BS52" s="64">
        <v>120.226443461741</v>
      </c>
      <c r="BT52" s="64">
        <v>10.894384404282601</v>
      </c>
      <c r="BU52" s="64">
        <v>-0.66516393296745502</v>
      </c>
      <c r="BV52" s="186">
        <v>100</v>
      </c>
      <c r="BW52" s="64">
        <v>10.643868580233431</v>
      </c>
      <c r="BX52" s="64">
        <v>-0.54072724895293511</v>
      </c>
      <c r="BZ52" s="64">
        <v>120.226443461741</v>
      </c>
      <c r="CA52" s="64">
        <v>6.7862503669096501</v>
      </c>
      <c r="CB52" s="64">
        <v>-1.0096019976678099</v>
      </c>
      <c r="CC52" s="186">
        <v>100</v>
      </c>
      <c r="CD52" s="64">
        <v>7.0588725853629439</v>
      </c>
      <c r="CE52" s="64">
        <v>-0.86222232072148053</v>
      </c>
      <c r="CG52" s="64">
        <v>120.226443461741</v>
      </c>
      <c r="CH52" s="64">
        <v>10.4429924810789</v>
      </c>
      <c r="CI52" s="64">
        <v>-0.94023565005123999</v>
      </c>
      <c r="CJ52" s="64">
        <v>100</v>
      </c>
      <c r="CK52" s="64">
        <v>11.047623350880603</v>
      </c>
      <c r="CL52" s="64">
        <v>-0.82642688677488907</v>
      </c>
      <c r="CN52" s="64">
        <v>120.226443461741</v>
      </c>
      <c r="CO52" s="64">
        <v>7.2999408054530504</v>
      </c>
      <c r="CP52" s="64">
        <v>-1.08637193329568</v>
      </c>
      <c r="CQ52" s="186">
        <v>100</v>
      </c>
      <c r="CR52" s="64">
        <v>7.1185291034526745</v>
      </c>
      <c r="CS52" s="64">
        <v>-0.89195745605391163</v>
      </c>
      <c r="CU52" s="64">
        <v>120.226443461741</v>
      </c>
      <c r="CV52" s="64">
        <v>4.7493804186987996</v>
      </c>
      <c r="CW52" s="64">
        <v>-0.81937903954609304</v>
      </c>
      <c r="CX52" s="139">
        <v>100</v>
      </c>
      <c r="CY52" s="64">
        <v>5.0087378435424865</v>
      </c>
      <c r="CZ52" s="64">
        <v>-0.69820110612013608</v>
      </c>
    </row>
    <row r="53" spans="2:104">
      <c r="B53" s="135">
        <v>2.04</v>
      </c>
      <c r="C53" s="139">
        <f t="shared" si="17"/>
        <v>109.64781961431861</v>
      </c>
      <c r="D53" s="139">
        <f t="shared" si="18"/>
        <v>688.93756916496432</v>
      </c>
      <c r="E53" s="32" t="str">
        <f t="shared" si="19"/>
        <v>688.937569164964i</v>
      </c>
      <c r="F53"/>
      <c r="G53" s="153" t="str">
        <f t="shared" si="0"/>
        <v>0.04+0.0000486286167796132i</v>
      </c>
      <c r="H53" s="153" t="str">
        <f t="shared" si="1"/>
        <v>1+0.0222497912940842i</v>
      </c>
      <c r="I53" t="str">
        <f t="shared" si="20"/>
        <v>0.0399812891109548-0.000840946721607572i</v>
      </c>
      <c r="J53"/>
      <c r="K53" t="str">
        <f t="shared" si="21"/>
        <v>0.04+0.0000486286167796132i</v>
      </c>
      <c r="L53" t="str">
        <f t="shared" si="2"/>
        <v>5.43580907071529+0.120945617337905i</v>
      </c>
      <c r="M53" t="str">
        <f t="shared" si="22"/>
        <v>0.00735516803309902-0.000154704977799545i</v>
      </c>
      <c r="N53" s="153" t="str">
        <f t="shared" si="3"/>
        <v>0.0011+0.000151566265216292i</v>
      </c>
      <c r="O53" s="135" t="str">
        <f t="shared" si="4"/>
        <v>0.000242+0.0000333445783475842i</v>
      </c>
      <c r="Q53" s="135" t="str">
        <f t="shared" si="5"/>
        <v>-0.000688937569164964i</v>
      </c>
      <c r="R53" s="135" t="str">
        <f t="shared" si="6"/>
        <v>-1.92362309538786E-07</v>
      </c>
      <c r="S53" s="64" t="str">
        <f t="shared" si="23"/>
        <v>0.99999980763769-0.000688937569164964i</v>
      </c>
      <c r="T53" s="135" t="str">
        <f t="shared" si="7"/>
        <v>0.0099999980763769-6.88937569164964E-06i</v>
      </c>
      <c r="U53" s="64" t="str">
        <f t="shared" si="24"/>
        <v>0.0175971661094759-0.00012824977514361i</v>
      </c>
      <c r="W53" s="64" t="str">
        <f t="shared" si="25"/>
        <v>2.27225758335934-0.0312283349520385i</v>
      </c>
      <c r="X53" s="172">
        <f t="shared" si="26"/>
        <v>2.2724721635342218</v>
      </c>
      <c r="Y53" s="188">
        <f t="shared" si="27"/>
        <v>7.1299714414222279</v>
      </c>
      <c r="Z53" s="161">
        <f t="shared" si="28"/>
        <v>-0.78738395217119639</v>
      </c>
      <c r="AA53" s="161">
        <f t="shared" si="8"/>
        <v>-0.78738395217119639</v>
      </c>
      <c r="AB53" s="199"/>
      <c r="AC53" s="64" t="str">
        <f t="shared" si="9"/>
        <v>-145151033.236881i</v>
      </c>
      <c r="AD53" s="64" t="str">
        <f t="shared" si="10"/>
        <v>22000-14515103.3236881i</v>
      </c>
      <c r="AE53" s="64" t="str">
        <f t="shared" si="29"/>
        <v>18181.8178366291-13195550.9813076i</v>
      </c>
      <c r="AF53" s="64" t="str">
        <f t="shared" si="11"/>
        <v>10000</v>
      </c>
      <c r="AG53" s="64" t="str">
        <f t="shared" si="12"/>
        <v>-3721821.36504824i</v>
      </c>
      <c r="AH53" s="64" t="str">
        <f t="shared" si="30"/>
        <v>9999.92780854159-26.8683712293429i</v>
      </c>
      <c r="AI53" s="64" t="str">
        <f t="shared" si="31"/>
        <v>5.36363700223613-1319.55021293718i</v>
      </c>
      <c r="AJ53" s="161">
        <f t="shared" si="32"/>
        <v>1319.5611138043018</v>
      </c>
      <c r="AK53" s="161">
        <f t="shared" si="33"/>
        <v>62.408590176431737</v>
      </c>
      <c r="AL53" s="161">
        <f t="shared" si="34"/>
        <v>-89.767108468040036</v>
      </c>
      <c r="AN53" s="64" t="str">
        <f t="shared" si="35"/>
        <v>-29.0197911829182-2998.52547542281i</v>
      </c>
      <c r="AO53" s="161">
        <f t="shared" si="36"/>
        <v>2998.6658992024913</v>
      </c>
      <c r="AP53" s="161">
        <f t="shared" si="37"/>
        <v>69.538561617853972</v>
      </c>
      <c r="AQ53" s="161">
        <f t="shared" si="38"/>
        <v>-90.554492420211233</v>
      </c>
      <c r="AR53" s="64">
        <f t="shared" si="39"/>
        <v>89.445507579788767</v>
      </c>
      <c r="AT53" s="135" t="str">
        <f t="shared" si="13"/>
        <v>-45423973.7118805i</v>
      </c>
      <c r="AU53" s="135" t="str">
        <f t="shared" si="14"/>
        <v>27456.1383070198-8130555.35546444i</v>
      </c>
      <c r="AV53" s="135" t="str">
        <f t="shared" si="40"/>
        <v>19752.277484921-6896198.7246017i</v>
      </c>
      <c r="AW53" s="135" t="str">
        <f t="shared" si="15"/>
        <v>10000</v>
      </c>
      <c r="AX53" s="135" t="str">
        <f t="shared" si="16"/>
        <v>1789.92604368691-3491337.53855399i</v>
      </c>
      <c r="AY53" s="135" t="str">
        <f t="shared" si="41"/>
        <v>9999.90327862709-28.6419913737653i</v>
      </c>
      <c r="AZ53" s="135" t="str">
        <f t="shared" si="42"/>
        <v>3.95046129792549-689.615227605488i</v>
      </c>
      <c r="BA53" s="182">
        <f t="shared" si="43"/>
        <v>689.62654262277022</v>
      </c>
      <c r="BB53" s="182">
        <f t="shared" si="44"/>
        <v>56.77227936876838</v>
      </c>
      <c r="BC53" s="182">
        <f t="shared" si="45"/>
        <v>-89.67178467846945</v>
      </c>
      <c r="BE53" s="135" t="str">
        <f t="shared" si="46"/>
        <v>-12.5590696737117-1567.10679685527i</v>
      </c>
      <c r="BF53" s="161">
        <f t="shared" si="47"/>
        <v>1567.1571213445873</v>
      </c>
      <c r="BG53" s="161">
        <f t="shared" si="48"/>
        <v>63.90225081019058</v>
      </c>
      <c r="BH53" s="161">
        <f t="shared" si="49"/>
        <v>-90.459168630640633</v>
      </c>
      <c r="BI53" s="64">
        <f t="shared" si="50"/>
        <v>89.540831369359367</v>
      </c>
      <c r="BS53" s="64">
        <v>131.82567385563999</v>
      </c>
      <c r="BT53" s="64">
        <v>10.8943352360197</v>
      </c>
      <c r="BU53" s="64">
        <v>-0.72933774876775603</v>
      </c>
      <c r="BV53" s="186">
        <v>109.64781961431861</v>
      </c>
      <c r="BW53" s="64">
        <v>10.643840116723574</v>
      </c>
      <c r="BX53" s="64">
        <v>-0.59289599011127403</v>
      </c>
      <c r="BZ53" s="64">
        <v>131.82567385563999</v>
      </c>
      <c r="CA53" s="64">
        <v>6.7860062877858001</v>
      </c>
      <c r="CB53" s="64">
        <v>-1.10698707335477</v>
      </c>
      <c r="CC53" s="186">
        <v>109.64781961431861</v>
      </c>
      <c r="CD53" s="64">
        <v>7.0586918265853509</v>
      </c>
      <c r="CE53" s="64">
        <v>-0.94539551661008381</v>
      </c>
      <c r="CG53" s="64">
        <v>131.82567385563999</v>
      </c>
      <c r="CH53" s="64">
        <v>10.4431261227692</v>
      </c>
      <c r="CI53" s="64">
        <v>-1.03097357079403</v>
      </c>
      <c r="CJ53" s="64">
        <v>109.64781961431861</v>
      </c>
      <c r="CK53" s="64">
        <v>11.047695469101008</v>
      </c>
      <c r="CL53" s="64">
        <v>-0.90617308350329695</v>
      </c>
      <c r="CN53" s="64">
        <v>131.82567385563999</v>
      </c>
      <c r="CO53" s="64">
        <v>7.29967249079706</v>
      </c>
      <c r="CP53" s="64">
        <v>-1.1911609011047599</v>
      </c>
      <c r="CQ53" s="186">
        <v>109.64781961431861</v>
      </c>
      <c r="CR53" s="64">
        <v>7.1183523967454301</v>
      </c>
      <c r="CS53" s="64">
        <v>-0.9780000942328958</v>
      </c>
      <c r="CU53" s="64">
        <v>131.82567385563999</v>
      </c>
      <c r="CV53" s="64">
        <v>4.7492300115125197</v>
      </c>
      <c r="CW53" s="64">
        <v>-0.89842190187994098</v>
      </c>
      <c r="CX53" s="139">
        <v>109.64781961431861</v>
      </c>
      <c r="CY53" s="64">
        <v>5.0086265429991261</v>
      </c>
      <c r="CZ53" s="64">
        <v>-0.76555632176835886</v>
      </c>
    </row>
    <row r="54" spans="2:104">
      <c r="B54" s="135">
        <v>2.08</v>
      </c>
      <c r="C54" s="139">
        <f t="shared" si="17"/>
        <v>120.22644346174135</v>
      </c>
      <c r="D54" s="139">
        <f t="shared" si="18"/>
        <v>755.40502309327053</v>
      </c>
      <c r="E54" s="32" t="str">
        <f t="shared" si="19"/>
        <v>755.405023093271i</v>
      </c>
      <c r="F54"/>
      <c r="G54" s="153" t="str">
        <f t="shared" si="0"/>
        <v>0.04+0.0000533202062357436i</v>
      </c>
      <c r="H54" s="153" t="str">
        <f t="shared" si="1"/>
        <v>1+0.0243964074378623i</v>
      </c>
      <c r="I54" t="str">
        <f t="shared" si="20"/>
        <v>0.0399775068212368-0.000921987338525069i</v>
      </c>
      <c r="J54"/>
      <c r="K54" t="str">
        <f t="shared" si="21"/>
        <v>0.04+0.0000533202062357436i</v>
      </c>
      <c r="L54" t="str">
        <f t="shared" si="2"/>
        <v>5.43580907071529+0.132614212843598i</v>
      </c>
      <c r="M54" t="str">
        <f t="shared" si="22"/>
        <v>0.00735447222320783-0.000169613635528914i</v>
      </c>
      <c r="N54" s="153" t="str">
        <f t="shared" si="3"/>
        <v>0.0011+0.00016618910508052i</v>
      </c>
      <c r="O54" s="135" t="str">
        <f t="shared" si="4"/>
        <v>0.000242+0.0000365616031177144i</v>
      </c>
      <c r="Q54" s="135" t="str">
        <f t="shared" si="5"/>
        <v>-0.000755405023093271i</v>
      </c>
      <c r="R54" s="135" t="str">
        <f t="shared" si="6"/>
        <v>-2.31270363319349E-07</v>
      </c>
      <c r="S54" s="64" t="str">
        <f t="shared" si="23"/>
        <v>0.999999768729637-0.000755405023093271i</v>
      </c>
      <c r="T54" s="135" t="str">
        <f t="shared" si="7"/>
        <v>0.00999999768729637-7.55405023093271E-06i</v>
      </c>
      <c r="U54" s="64" t="str">
        <f t="shared" si="24"/>
        <v>0.0175964699105042-0.000140606082642132i</v>
      </c>
      <c r="W54" s="64" t="str">
        <f t="shared" si="25"/>
        <v>2.27217853316754-0.0342401185565731i</v>
      </c>
      <c r="X54" s="172">
        <f t="shared" si="26"/>
        <v>2.2724365056709859</v>
      </c>
      <c r="Y54" s="188">
        <f t="shared" si="27"/>
        <v>7.1298351481378761</v>
      </c>
      <c r="Z54" s="161">
        <f t="shared" si="28"/>
        <v>-0.86334140400968684</v>
      </c>
      <c r="AA54" s="161">
        <f t="shared" si="8"/>
        <v>-0.86334140400968684</v>
      </c>
      <c r="AB54" s="199"/>
      <c r="AC54" s="64" t="str">
        <f t="shared" si="9"/>
        <v>-132379315.655746i</v>
      </c>
      <c r="AD54" s="64" t="str">
        <f t="shared" si="10"/>
        <v>22000-13237931.5655746i</v>
      </c>
      <c r="AE54" s="64" t="str">
        <f t="shared" si="29"/>
        <v>18181.8177668096-12034485.9883587i</v>
      </c>
      <c r="AF54" s="64" t="str">
        <f t="shared" si="11"/>
        <v>10000</v>
      </c>
      <c r="AG54" s="64" t="str">
        <f t="shared" si="12"/>
        <v>-3394341.4270704i</v>
      </c>
      <c r="AH54" s="64" t="str">
        <f t="shared" si="30"/>
        <v>9999.9132069038-29.4605402012683i</v>
      </c>
      <c r="AI54" s="64" t="str">
        <f t="shared" si="31"/>
        <v>5.36363713140214-1203.44324232765i</v>
      </c>
      <c r="AJ54" s="161">
        <f t="shared" si="32"/>
        <v>1203.4551948898491</v>
      </c>
      <c r="AK54" s="161">
        <f t="shared" si="33"/>
        <v>61.608598519153745</v>
      </c>
      <c r="AL54" s="161">
        <f t="shared" si="34"/>
        <v>-89.744639610034312</v>
      </c>
      <c r="AN54" s="64" t="str">
        <f t="shared" si="35"/>
        <v>-29.0188981437332-2734.6215526737i</v>
      </c>
      <c r="AO54" s="161">
        <f t="shared" si="36"/>
        <v>2734.775517807082</v>
      </c>
      <c r="AP54" s="161">
        <f t="shared" si="37"/>
        <v>68.738433667291602</v>
      </c>
      <c r="AQ54" s="161">
        <f t="shared" si="38"/>
        <v>-90.607981014043972</v>
      </c>
      <c r="AR54" s="64">
        <f t="shared" si="39"/>
        <v>89.392018985956028</v>
      </c>
      <c r="AT54" s="135" t="str">
        <f t="shared" si="13"/>
        <v>-41427156.3918529i</v>
      </c>
      <c r="AU54" s="135" t="str">
        <f t="shared" si="14"/>
        <v>27456.1383070198-7415154.61416681i</v>
      </c>
      <c r="AV54" s="135" t="str">
        <f t="shared" si="40"/>
        <v>19752.2764348393-6289409.8552018i</v>
      </c>
      <c r="AW54" s="135" t="str">
        <f t="shared" si="15"/>
        <v>10000</v>
      </c>
      <c r="AX54" s="135" t="str">
        <f t="shared" si="16"/>
        <v>1789.92604368691-3184137.67901142i</v>
      </c>
      <c r="AY54" s="135" t="str">
        <f t="shared" si="41"/>
        <v>9999.88371560149-31.4052465993204i</v>
      </c>
      <c r="AZ54" s="135" t="str">
        <f t="shared" si="42"/>
        <v>3.95046226123253-628.935892539227i</v>
      </c>
      <c r="BA54" s="182">
        <f t="shared" si="43"/>
        <v>628.94829920764664</v>
      </c>
      <c r="BB54" s="182">
        <f t="shared" si="44"/>
        <v>55.972298940967079</v>
      </c>
      <c r="BC54" s="182">
        <f t="shared" si="45"/>
        <v>-89.640119381373736</v>
      </c>
      <c r="BE54" s="135" t="str">
        <f t="shared" si="46"/>
        <v>-12.5586839789662-1429.18989806238i</v>
      </c>
      <c r="BF54" s="161">
        <f t="shared" si="47"/>
        <v>1429.2450752991385</v>
      </c>
      <c r="BG54" s="161">
        <f t="shared" si="48"/>
        <v>63.102134089104986</v>
      </c>
      <c r="BH54" s="161">
        <f t="shared" si="49"/>
        <v>-90.50346078538341</v>
      </c>
      <c r="BI54" s="64">
        <f t="shared" si="50"/>
        <v>89.49653921461659</v>
      </c>
      <c r="BS54" s="64">
        <v>144.54397707459199</v>
      </c>
      <c r="BT54" s="64">
        <v>10.8942761218721</v>
      </c>
      <c r="BU54" s="64">
        <v>-0.79970293828719796</v>
      </c>
      <c r="BV54" s="186">
        <v>120.22644346174135</v>
      </c>
      <c r="BW54" s="64">
        <v>10.643805895462329</v>
      </c>
      <c r="BX54" s="64">
        <v>-0.65009798916425932</v>
      </c>
      <c r="BZ54" s="64">
        <v>144.54397707459199</v>
      </c>
      <c r="CA54" s="64">
        <v>6.7857128581474901</v>
      </c>
      <c r="CB54" s="64">
        <v>-1.21376148013819</v>
      </c>
      <c r="CC54" s="186">
        <v>120.22644346174135</v>
      </c>
      <c r="CD54" s="64">
        <v>7.058474516646573</v>
      </c>
      <c r="CE54" s="64">
        <v>-1.0365891483720282</v>
      </c>
      <c r="CG54" s="64">
        <v>144.54397707459199</v>
      </c>
      <c r="CH54" s="64">
        <v>10.443286779351601</v>
      </c>
      <c r="CI54" s="64">
        <v>-1.13047389592582</v>
      </c>
      <c r="CJ54" s="64">
        <v>120.22644346174135</v>
      </c>
      <c r="CK54" s="64">
        <v>11.047782165806519</v>
      </c>
      <c r="CL54" s="64">
        <v>-0.99361751180512548</v>
      </c>
      <c r="CN54" s="64">
        <v>144.54397707459199</v>
      </c>
      <c r="CO54" s="64">
        <v>7.2993499270307103</v>
      </c>
      <c r="CP54" s="64">
        <v>-1.3060526448957901</v>
      </c>
      <c r="CQ54" s="186">
        <v>120.22644346174135</v>
      </c>
      <c r="CR54" s="64">
        <v>7.1181399577488875</v>
      </c>
      <c r="CS54" s="64">
        <v>-1.0723402137095921</v>
      </c>
      <c r="CU54" s="64">
        <v>144.54397707459199</v>
      </c>
      <c r="CV54" s="64">
        <v>4.7490491890535003</v>
      </c>
      <c r="CW54" s="64">
        <v>-0.98508770205075702</v>
      </c>
      <c r="CX54" s="139">
        <v>120.22644346174135</v>
      </c>
      <c r="CY54" s="64">
        <v>5.008492734025408</v>
      </c>
      <c r="CZ54" s="64">
        <v>-0.83940794815322584</v>
      </c>
    </row>
    <row r="55" spans="2:104">
      <c r="B55" s="135">
        <f>0.04+B54</f>
        <v>2.12</v>
      </c>
      <c r="C55" s="139">
        <f t="shared" si="17"/>
        <v>131.82567385564084</v>
      </c>
      <c r="D55" s="139">
        <f t="shared" si="18"/>
        <v>828.28513707881064</v>
      </c>
      <c r="E55" s="32" t="str">
        <f t="shared" si="19"/>
        <v>828.285137078811i</v>
      </c>
      <c r="F55"/>
      <c r="G55" s="153" t="str">
        <f t="shared" si="0"/>
        <v>0.04+0.0000584644280332204i</v>
      </c>
      <c r="H55" s="153" t="str">
        <f t="shared" si="1"/>
        <v>1+0.0267501240941073i</v>
      </c>
      <c r="I55" t="str">
        <f t="shared" si="20"/>
        <v>0.0399729605137649-0.00101081722611884i</v>
      </c>
      <c r="J55"/>
      <c r="K55" t="str">
        <f t="shared" si="21"/>
        <v>0.04+0.0000584644280332204i</v>
      </c>
      <c r="L55" t="str">
        <f t="shared" si="2"/>
        <v>5.43580907071529+0.145408567193508i</v>
      </c>
      <c r="M55" t="str">
        <f t="shared" si="22"/>
        <v>0.00735363586059598-0.000185955248421893i</v>
      </c>
      <c r="N55" s="153" t="str">
        <f t="shared" si="3"/>
        <v>0.0011+0.000182222730157338i</v>
      </c>
      <c r="O55" s="135" t="str">
        <f t="shared" si="4"/>
        <v>0.000242+0.0000400890006346144i</v>
      </c>
      <c r="Q55" s="135" t="str">
        <f t="shared" si="5"/>
        <v>-0.000828285137078811i</v>
      </c>
      <c r="R55" s="135" t="str">
        <f t="shared" si="6"/>
        <v>-2.78048132599901E-07</v>
      </c>
      <c r="S55" s="64" t="str">
        <f t="shared" si="23"/>
        <v>0.999999721951867-0.000828285137078811i</v>
      </c>
      <c r="T55" s="135" t="str">
        <f t="shared" si="7"/>
        <v>0.00999999721951867-8.28285137078811E-06i</v>
      </c>
      <c r="U55" s="64" t="str">
        <f t="shared" si="24"/>
        <v>0.0175956330801147-0.000154149099158067i</v>
      </c>
      <c r="W55" s="64" t="str">
        <f t="shared" si="25"/>
        <v>2.27208350036371-0.037542133228068i</v>
      </c>
      <c r="X55" s="172">
        <f t="shared" si="26"/>
        <v>2.2723936376412261</v>
      </c>
      <c r="Y55" s="188">
        <f t="shared" si="27"/>
        <v>7.1296712929601185</v>
      </c>
      <c r="Z55" s="161">
        <f t="shared" si="28"/>
        <v>-0.94662456993958177</v>
      </c>
      <c r="AA55" s="161">
        <f t="shared" si="8"/>
        <v>-0.94662456993958177</v>
      </c>
      <c r="AB55" s="199"/>
      <c r="AC55" s="64" t="str">
        <f t="shared" si="9"/>
        <v>-120731370.784558i</v>
      </c>
      <c r="AD55" s="64" t="str">
        <f t="shared" si="10"/>
        <v>22000-12073137.0784558i</v>
      </c>
      <c r="AE55" s="64" t="str">
        <f t="shared" si="29"/>
        <v>18181.8176828682-10975582.1741784i</v>
      </c>
      <c r="AF55" s="64" t="str">
        <f t="shared" si="11"/>
        <v>10000</v>
      </c>
      <c r="AG55" s="64" t="str">
        <f t="shared" si="12"/>
        <v>-3095676.17396302i</v>
      </c>
      <c r="AH55" s="64" t="str">
        <f t="shared" si="30"/>
        <v>9999.89565193045-32.3027832692487i</v>
      </c>
      <c r="AI55" s="64" t="str">
        <f t="shared" si="31"/>
        <v>5.36363728669387-1097.55234412339i</v>
      </c>
      <c r="AJ55" s="161">
        <f t="shared" si="32"/>
        <v>1097.5654498460178</v>
      </c>
      <c r="AK55" s="161">
        <f t="shared" si="33"/>
        <v>60.808608549298164</v>
      </c>
      <c r="AL55" s="161">
        <f t="shared" si="34"/>
        <v>-89.720003027975977</v>
      </c>
      <c r="AN55" s="64" t="str">
        <f t="shared" si="35"/>
        <v>-29.0178245468259-2493.93193425387i</v>
      </c>
      <c r="AO55" s="161">
        <f t="shared" si="36"/>
        <v>2494.1007451249197</v>
      </c>
      <c r="AP55" s="161">
        <f t="shared" si="37"/>
        <v>67.938279842258282</v>
      </c>
      <c r="AQ55" s="161">
        <f t="shared" si="38"/>
        <v>-90.666627597915536</v>
      </c>
      <c r="AR55" s="64">
        <f t="shared" si="39"/>
        <v>89.333372402084464</v>
      </c>
      <c r="AT55" s="135" t="str">
        <f t="shared" si="13"/>
        <v>-37782015.6730623i</v>
      </c>
      <c r="AU55" s="135" t="str">
        <f t="shared" si="14"/>
        <v>27456.1383070198-6762701.38362012i</v>
      </c>
      <c r="AV55" s="135" t="str">
        <f t="shared" si="40"/>
        <v>19752.2751723638-5736012.00933083i</v>
      </c>
      <c r="AW55" s="135" t="str">
        <f t="shared" si="15"/>
        <v>10000</v>
      </c>
      <c r="AX55" s="135" t="str">
        <f t="shared" si="16"/>
        <v>1789.92604368691-2903968.07725998i</v>
      </c>
      <c r="AY55" s="135" t="str">
        <f t="shared" si="41"/>
        <v>9999.86019579104-34.4350726517175i</v>
      </c>
      <c r="AZ55" s="135" t="str">
        <f t="shared" si="42"/>
        <v>3.95046341938205-573.595616591742i</v>
      </c>
      <c r="BA55" s="182">
        <f t="shared" si="43"/>
        <v>573.609220231412</v>
      </c>
      <c r="BB55" s="182">
        <f t="shared" si="44"/>
        <v>55.172322471864376</v>
      </c>
      <c r="BC55" s="182">
        <f t="shared" si="45"/>
        <v>-89.605399176988954</v>
      </c>
      <c r="BE55" s="135" t="str">
        <f t="shared" si="46"/>
        <v>-12.5582203031546-1303.40544516305i</v>
      </c>
      <c r="BF55" s="161">
        <f t="shared" si="47"/>
        <v>1303.4659425462069</v>
      </c>
      <c r="BG55" s="161">
        <f t="shared" si="48"/>
        <v>62.301993764824502</v>
      </c>
      <c r="BH55" s="161">
        <f t="shared" si="49"/>
        <v>-90.552023746928526</v>
      </c>
      <c r="BI55" s="64">
        <f t="shared" si="50"/>
        <v>89.447976253071474</v>
      </c>
      <c r="BS55" s="64">
        <v>158.48931924611099</v>
      </c>
      <c r="BT55" s="64">
        <v>10.8942050497389</v>
      </c>
      <c r="BU55" s="64">
        <v>-0.87685683396074399</v>
      </c>
      <c r="BV55" s="186">
        <v>131.82567385564084</v>
      </c>
      <c r="BW55" s="64">
        <v>10.64376475159612</v>
      </c>
      <c r="BX55" s="64">
        <v>-0.71281888132982252</v>
      </c>
      <c r="BZ55" s="64">
        <v>158.48931924611099</v>
      </c>
      <c r="CA55" s="64">
        <v>6.7853601041553002</v>
      </c>
      <c r="CB55" s="64">
        <v>-1.33082910996564</v>
      </c>
      <c r="CC55" s="186">
        <v>131.82567385564084</v>
      </c>
      <c r="CD55" s="64">
        <v>7.0582132669597728</v>
      </c>
      <c r="CE55" s="64">
        <v>-1.1365757521391056</v>
      </c>
      <c r="CG55" s="64">
        <v>158.48931924611099</v>
      </c>
      <c r="CH55" s="64">
        <v>10.443479907804001</v>
      </c>
      <c r="CI55" s="64">
        <v>-1.2395846078143</v>
      </c>
      <c r="CJ55" s="64">
        <v>131.82567385564084</v>
      </c>
      <c r="CK55" s="64">
        <v>11.047886385934332</v>
      </c>
      <c r="CL55" s="64">
        <v>-1.0895043033201699</v>
      </c>
      <c r="CN55" s="64">
        <v>158.48931924611099</v>
      </c>
      <c r="CO55" s="64">
        <v>7.2989621510190297</v>
      </c>
      <c r="CP55" s="64">
        <v>-1.4320196121086499</v>
      </c>
      <c r="CQ55" s="186">
        <v>131.82567385564084</v>
      </c>
      <c r="CR55" s="64">
        <v>7.1178845631853971</v>
      </c>
      <c r="CS55" s="64">
        <v>-1.1757771452291261</v>
      </c>
      <c r="CU55" s="64">
        <v>158.48931924611099</v>
      </c>
      <c r="CV55" s="64">
        <v>4.7488318023983203</v>
      </c>
      <c r="CW55" s="64">
        <v>-1.0801109408817999</v>
      </c>
      <c r="CX55" s="139">
        <v>131.82567385564084</v>
      </c>
      <c r="CY55" s="64">
        <v>5.0083318656192244</v>
      </c>
      <c r="CZ55" s="64">
        <v>-0.92038214305833521</v>
      </c>
    </row>
    <row r="56" spans="2:104">
      <c r="B56" s="135">
        <f t="shared" ref="B56:B77" si="51">0.04+B55</f>
        <v>2.16</v>
      </c>
      <c r="C56" s="139">
        <f t="shared" si="17"/>
        <v>144.54397707459285</v>
      </c>
      <c r="D56" s="139">
        <f t="shared" si="18"/>
        <v>908.19659299638477</v>
      </c>
      <c r="E56" s="32" t="str">
        <f t="shared" si="19"/>
        <v>908.196592996385i</v>
      </c>
      <c r="F56"/>
      <c r="G56" s="153" t="str">
        <f t="shared" si="0"/>
        <v>0.04+0.0000641049501315372i</v>
      </c>
      <c r="H56" s="153" t="str">
        <f t="shared" si="1"/>
        <v>1+0.0293309215835858i</v>
      </c>
      <c r="I56" t="str">
        <f t="shared" si="20"/>
        <v>0.0399674961020274-0.0011081785439293i</v>
      </c>
      <c r="J56"/>
      <c r="K56" t="str">
        <f t="shared" si="21"/>
        <v>0.04+0.0000641049501315372i</v>
      </c>
      <c r="L56" t="str">
        <f t="shared" si="2"/>
        <v>5.43580907071529+0.159437289596494i</v>
      </c>
      <c r="M56" t="str">
        <f t="shared" si="22"/>
        <v>0.00735263059869911-0.000203866348047333i</v>
      </c>
      <c r="N56" s="153" t="str">
        <f t="shared" si="3"/>
        <v>0.0011+0.000199803250459205i</v>
      </c>
      <c r="O56" s="135" t="str">
        <f t="shared" si="4"/>
        <v>0.000242+0.0000439567151010251i</v>
      </c>
      <c r="Q56" s="135" t="str">
        <f t="shared" si="5"/>
        <v>-0.000908196592996385i</v>
      </c>
      <c r="R56" s="135" t="str">
        <f t="shared" si="6"/>
        <v>-3.34287380936647E-07</v>
      </c>
      <c r="S56" s="64" t="str">
        <f t="shared" si="23"/>
        <v>0.999999665712619-0.000908196592996385i</v>
      </c>
      <c r="T56" s="135" t="str">
        <f t="shared" si="7"/>
        <v>0.00999999665712619-9.08196592996385E-06i</v>
      </c>
      <c r="U56" s="64" t="str">
        <f t="shared" si="24"/>
        <v>0.0175946272558253-0.000168991598876272i</v>
      </c>
      <c r="W56" s="64" t="str">
        <f t="shared" si="25"/>
        <v>2.27196925509713-0.0411622716629544i</v>
      </c>
      <c r="X56" s="172">
        <f t="shared" si="26"/>
        <v>2.2723421020425296</v>
      </c>
      <c r="Y56" s="188">
        <f t="shared" si="27"/>
        <v>7.1294743034987418</v>
      </c>
      <c r="Z56" s="161">
        <f t="shared" si="28"/>
        <v>-1.0379394186567457</v>
      </c>
      <c r="AA56" s="161">
        <f t="shared" si="8"/>
        <v>-1.0379394186567457</v>
      </c>
      <c r="AB56" s="199"/>
      <c r="AC56" s="64" t="str">
        <f t="shared" si="9"/>
        <v>-110108318.805814i</v>
      </c>
      <c r="AD56" s="64" t="str">
        <f t="shared" si="10"/>
        <v>22000-11010831.8805814i</v>
      </c>
      <c r="AE56" s="64" t="str">
        <f t="shared" si="29"/>
        <v>18181.8175819484-10009850.4666979i</v>
      </c>
      <c r="AF56" s="64" t="str">
        <f t="shared" si="11"/>
        <v>10000</v>
      </c>
      <c r="AG56" s="64" t="str">
        <f t="shared" si="12"/>
        <v>-2823290.2257901i</v>
      </c>
      <c r="AH56" s="64" t="str">
        <f t="shared" si="30"/>
        <v>9999.87454629195-35.4192227740011i</v>
      </c>
      <c r="AI56" s="64" t="str">
        <f t="shared" si="31"/>
        <v>5.36363747339557-1000.97860673052i</v>
      </c>
      <c r="AJ56" s="161">
        <f t="shared" si="32"/>
        <v>1000.9929768680292</v>
      </c>
      <c r="AK56" s="161">
        <f t="shared" si="33"/>
        <v>60.008620608164584</v>
      </c>
      <c r="AL56" s="161">
        <f t="shared" si="34"/>
        <v>-89.692989593572733</v>
      </c>
      <c r="AN56" s="64" t="str">
        <f t="shared" si="35"/>
        <v>-29.0165339040057-2274.41339900448i</v>
      </c>
      <c r="AO56" s="161">
        <f t="shared" si="36"/>
        <v>2274.5984851861031</v>
      </c>
      <c r="AP56" s="161">
        <f t="shared" si="37"/>
        <v>67.138094911663316</v>
      </c>
      <c r="AQ56" s="161">
        <f t="shared" si="38"/>
        <v>-90.730929012229453</v>
      </c>
      <c r="AR56" s="64">
        <f t="shared" si="39"/>
        <v>89.269070987770547</v>
      </c>
      <c r="AT56" s="135" t="str">
        <f t="shared" si="13"/>
        <v>-34457607.8265477i</v>
      </c>
      <c r="AU56" s="135" t="str">
        <f t="shared" si="14"/>
        <v>27456.1383070198-6167656.96518876i</v>
      </c>
      <c r="AV56" s="135" t="str">
        <f t="shared" si="40"/>
        <v>19752.2736545343-5231307.37303i</v>
      </c>
      <c r="AW56" s="135" t="str">
        <f t="shared" si="15"/>
        <v>10000</v>
      </c>
      <c r="AX56" s="135" t="str">
        <f t="shared" si="16"/>
        <v>1789.92604368691-2648450.36360465i</v>
      </c>
      <c r="AY56" s="135" t="str">
        <f t="shared" si="41"/>
        <v>9999.83191893213-37.7571804670483i</v>
      </c>
      <c r="AZ56" s="135" t="str">
        <f t="shared" si="42"/>
        <v>3.95046481178355-523.124614196096i</v>
      </c>
      <c r="BA56" s="182">
        <f t="shared" si="43"/>
        <v>523.13953028808999</v>
      </c>
      <c r="BB56" s="182">
        <f t="shared" si="44"/>
        <v>54.372350762136932</v>
      </c>
      <c r="BC56" s="182">
        <f t="shared" si="45"/>
        <v>-89.567329366294985</v>
      </c>
      <c r="BE56" s="135" t="str">
        <f t="shared" si="46"/>
        <v>-12.5576628874026-1188.68565014386i</v>
      </c>
      <c r="BF56" s="161">
        <f t="shared" si="47"/>
        <v>1188.7519799163847</v>
      </c>
      <c r="BG56" s="161">
        <f t="shared" si="48"/>
        <v>61.501825065635707</v>
      </c>
      <c r="BH56" s="161">
        <f t="shared" si="49"/>
        <v>-90.605268784951733</v>
      </c>
      <c r="BI56" s="64">
        <f t="shared" si="50"/>
        <v>89.394731215048267</v>
      </c>
      <c r="BS56" s="64">
        <v>173.78008287493699</v>
      </c>
      <c r="BT56" s="64">
        <v>10.894119600367199</v>
      </c>
      <c r="BU56" s="64">
        <v>-0.96145439770940799</v>
      </c>
      <c r="BV56" s="186">
        <v>144.54397707459285</v>
      </c>
      <c r="BW56" s="64">
        <v>10.64371528454469</v>
      </c>
      <c r="BX56" s="64">
        <v>-0.78159116634488279</v>
      </c>
      <c r="BZ56" s="64">
        <v>173.78008287493699</v>
      </c>
      <c r="CA56" s="64">
        <v>6.7849360381932096</v>
      </c>
      <c r="CB56" s="64">
        <v>-1.4591804331314</v>
      </c>
      <c r="CC56" s="186">
        <v>144.54397707459285</v>
      </c>
      <c r="CD56" s="64">
        <v>7.0578991964545912</v>
      </c>
      <c r="CE56" s="64">
        <v>-1.2462019959047859</v>
      </c>
      <c r="CG56" s="64">
        <v>173.78008287493699</v>
      </c>
      <c r="CH56" s="64">
        <v>10.4437120656919</v>
      </c>
      <c r="CI56" s="64">
        <v>-1.35923632863245</v>
      </c>
      <c r="CJ56" s="64">
        <v>144.54397707459285</v>
      </c>
      <c r="CK56" s="64">
        <v>11.048011668397038</v>
      </c>
      <c r="CL56" s="64">
        <v>-1.1946498341174223</v>
      </c>
      <c r="CN56" s="64">
        <v>173.78008287493699</v>
      </c>
      <c r="CO56" s="64">
        <v>7.2984959864133199</v>
      </c>
      <c r="CP56" s="64">
        <v>-1.57012735483373</v>
      </c>
      <c r="CQ56" s="186">
        <v>144.54397707459285</v>
      </c>
      <c r="CR56" s="64">
        <v>7.1175775305876865</v>
      </c>
      <c r="CS56" s="64">
        <v>-1.2891869573983981</v>
      </c>
      <c r="CU56" s="64">
        <v>173.78008287493699</v>
      </c>
      <c r="CV56" s="64">
        <v>4.7485704602549799</v>
      </c>
      <c r="CW56" s="64">
        <v>-1.1842966814815099</v>
      </c>
      <c r="CX56" s="139">
        <v>144.54397707459285</v>
      </c>
      <c r="CY56" s="64">
        <v>5.0081384670084841</v>
      </c>
      <c r="CZ56" s="64">
        <v>-1.0091652826384672</v>
      </c>
    </row>
    <row r="57" spans="2:104">
      <c r="B57" s="135">
        <f t="shared" si="51"/>
        <v>2.2000000000000002</v>
      </c>
      <c r="C57" s="139">
        <f t="shared" si="17"/>
        <v>158.48931924611153</v>
      </c>
      <c r="D57" s="139">
        <f t="shared" si="18"/>
        <v>995.81776203206277</v>
      </c>
      <c r="E57" s="32" t="str">
        <f t="shared" si="19"/>
        <v>995.817762032063i</v>
      </c>
      <c r="F57"/>
      <c r="G57" s="153" t="str">
        <f t="shared" si="0"/>
        <v>0.04+0.0000702896531166928i</v>
      </c>
      <c r="H57" s="153" t="str">
        <f t="shared" si="1"/>
        <v>1+0.0321607077768135i</v>
      </c>
      <c r="I57" t="str">
        <f t="shared" si="20"/>
        <v>0.0399609285320593-0.001214882091893i</v>
      </c>
      <c r="J57"/>
      <c r="K57" t="str">
        <f t="shared" si="21"/>
        <v>0.04+0.0000702896531166928i</v>
      </c>
      <c r="L57" t="str">
        <f t="shared" si="2"/>
        <v>5.43580907071529+0.174819467053826i</v>
      </c>
      <c r="M57" t="str">
        <f t="shared" si="22"/>
        <v>0.00735142239401741-0.000223496093422047i</v>
      </c>
      <c r="N57" s="153" t="str">
        <f t="shared" si="3"/>
        <v>0.0011+0.000219079907647054i</v>
      </c>
      <c r="O57" s="135" t="str">
        <f t="shared" si="4"/>
        <v>0.000242+0.0000481975796823519i</v>
      </c>
      <c r="Q57" s="135" t="str">
        <f t="shared" si="5"/>
        <v>-0.000995817762032063i</v>
      </c>
      <c r="R57" s="135" t="str">
        <f t="shared" si="6"/>
        <v>-4.01901829041534E-07</v>
      </c>
      <c r="S57" s="64" t="str">
        <f t="shared" si="23"/>
        <v>0.999999598098171-0.000995817762032063i</v>
      </c>
      <c r="T57" s="135" t="str">
        <f t="shared" si="7"/>
        <v>0.00999999598098171-9.95817762032063E-06i</v>
      </c>
      <c r="U57" s="64" t="str">
        <f t="shared" si="24"/>
        <v>0.0175934183749991-0.000185256691360016i</v>
      </c>
      <c r="W57" s="64" t="str">
        <f t="shared" si="25"/>
        <v>2.27183191550781-0.0451310831684792i</v>
      </c>
      <c r="X57" s="172">
        <f t="shared" si="26"/>
        <v>2.2722801471182743</v>
      </c>
      <c r="Y57" s="188">
        <f t="shared" si="27"/>
        <v>7.1292374813361299</v>
      </c>
      <c r="Z57" s="161">
        <f t="shared" si="28"/>
        <v>-1.1380597740315346</v>
      </c>
      <c r="AA57" s="161">
        <f t="shared" si="8"/>
        <v>-1.1380597740315346</v>
      </c>
      <c r="AB57" s="199"/>
      <c r="AC57" s="64" t="str">
        <f t="shared" si="9"/>
        <v>-100419980.254158i</v>
      </c>
      <c r="AD57" s="64" t="str">
        <f t="shared" si="10"/>
        <v>22000-10041998.0254158i</v>
      </c>
      <c r="AE57" s="64" t="str">
        <f t="shared" si="29"/>
        <v>18181.817460616-9129092.73516972i</v>
      </c>
      <c r="AF57" s="64" t="str">
        <f t="shared" si="11"/>
        <v>10000</v>
      </c>
      <c r="AG57" s="64" t="str">
        <f t="shared" si="12"/>
        <v>-2574871.28856817i</v>
      </c>
      <c r="AH57" s="64" t="str">
        <f t="shared" si="30"/>
        <v>9999.84917185134-38.8363069495875i</v>
      </c>
      <c r="AI57" s="64" t="str">
        <f t="shared" si="31"/>
        <v>5.36363769786034-912.90221226403i</v>
      </c>
      <c r="AJ57" s="161">
        <f t="shared" si="32"/>
        <v>912.91796880437948</v>
      </c>
      <c r="AK57" s="161">
        <f t="shared" si="33"/>
        <v>59.208635106082561</v>
      </c>
      <c r="AL57" s="161">
        <f t="shared" si="34"/>
        <v>-89.663370005335153</v>
      </c>
      <c r="AN57" s="64" t="str">
        <f t="shared" si="35"/>
        <v>-29.0149823611566-2074.20244833814i</v>
      </c>
      <c r="AO57" s="161">
        <f t="shared" si="36"/>
        <v>2074.4053764617352</v>
      </c>
      <c r="AP57" s="161">
        <f t="shared" si="37"/>
        <v>66.337872587418701</v>
      </c>
      <c r="AQ57" s="161">
        <f t="shared" si="38"/>
        <v>-90.801429779366686</v>
      </c>
      <c r="AR57" s="64">
        <f t="shared" si="39"/>
        <v>89.198570220633314</v>
      </c>
      <c r="AT57" s="135" t="str">
        <f t="shared" si="13"/>
        <v>-31425711.8360865i</v>
      </c>
      <c r="AU57" s="135" t="str">
        <f t="shared" si="14"/>
        <v>27456.1383070198-5624970.00568112i</v>
      </c>
      <c r="AV57" s="135" t="str">
        <f t="shared" si="40"/>
        <v>19752.2718297024-4771011.49072508i</v>
      </c>
      <c r="AW57" s="135" t="str">
        <f t="shared" si="15"/>
        <v>10000</v>
      </c>
      <c r="AX57" s="135" t="str">
        <f t="shared" si="16"/>
        <v>1789.92604368691-2415415.43910354i</v>
      </c>
      <c r="AY57" s="135" t="str">
        <f t="shared" si="41"/>
        <v>9999.79792291993-41.3997591914391i</v>
      </c>
      <c r="AZ57" s="135" t="str">
        <f t="shared" si="42"/>
        <v>3.95046648581774-477.094435221426i</v>
      </c>
      <c r="BA57" s="182">
        <f t="shared" si="43"/>
        <v>477.11079038804718</v>
      </c>
      <c r="BB57" s="182">
        <f t="shared" si="44"/>
        <v>53.572384774397726</v>
      </c>
      <c r="BC57" s="182">
        <f t="shared" si="45"/>
        <v>-89.525586828719867</v>
      </c>
      <c r="BE57" s="135" t="str">
        <f t="shared" si="46"/>
        <v>-12.5569927915721-1084.05665347873i</v>
      </c>
      <c r="BF57" s="161">
        <f t="shared" si="47"/>
        <v>1084.1293769746628</v>
      </c>
      <c r="BG57" s="161">
        <f t="shared" si="48"/>
        <v>60.701622255733824</v>
      </c>
      <c r="BH57" s="161">
        <f t="shared" si="49"/>
        <v>-90.663646602751399</v>
      </c>
      <c r="BI57" s="64">
        <f t="shared" si="50"/>
        <v>89.336353397248601</v>
      </c>
      <c r="BS57" s="64">
        <v>190.54607179632399</v>
      </c>
      <c r="BT57" s="64">
        <v>10.8940168649233</v>
      </c>
      <c r="BU57" s="64">
        <v>-1.0542137808911201</v>
      </c>
      <c r="BV57" s="186">
        <v>158.48931924611153</v>
      </c>
      <c r="BW57" s="64">
        <v>10.643655810269506</v>
      </c>
      <c r="BX57" s="64">
        <v>-0.85699873346104571</v>
      </c>
      <c r="BZ57" s="64">
        <v>190.54607179632399</v>
      </c>
      <c r="CA57" s="64">
        <v>6.78442625312519</v>
      </c>
      <c r="CB57" s="64">
        <v>-1.5999006518643</v>
      </c>
      <c r="CC57" s="186">
        <v>158.48931924611153</v>
      </c>
      <c r="CD57" s="64">
        <v>7.0575216305751347</v>
      </c>
      <c r="CE57" s="64">
        <v>-1.3663957041817174</v>
      </c>
      <c r="CG57" s="64">
        <v>190.54607179632399</v>
      </c>
      <c r="CH57" s="64">
        <v>10.443991132306101</v>
      </c>
      <c r="CI57" s="64">
        <v>-1.4904505568526101</v>
      </c>
      <c r="CJ57" s="64">
        <v>158.48931924611153</v>
      </c>
      <c r="CK57" s="64">
        <v>11.048162265473401</v>
      </c>
      <c r="CL57" s="64">
        <v>-1.3099498385324417</v>
      </c>
      <c r="CN57" s="64">
        <v>190.54607179632399</v>
      </c>
      <c r="CO57" s="64">
        <v>7.2979355978895697</v>
      </c>
      <c r="CP57" s="64">
        <v>-1.7215432851958901</v>
      </c>
      <c r="CQ57" s="186">
        <v>158.48931924611153</v>
      </c>
      <c r="CR57" s="64">
        <v>7.1172084239676554</v>
      </c>
      <c r="CS57" s="64">
        <v>-1.4135297394023603</v>
      </c>
      <c r="CU57" s="64">
        <v>190.54607179632399</v>
      </c>
      <c r="CV57" s="64">
        <v>4.7482562782700501</v>
      </c>
      <c r="CW57" s="64">
        <v>-1.2985272612721299</v>
      </c>
      <c r="CX57" s="139">
        <v>158.48931924611153</v>
      </c>
      <c r="CY57" s="64">
        <v>5.007905961942102</v>
      </c>
      <c r="CZ57" s="64">
        <v>-1.1065097100624834</v>
      </c>
    </row>
    <row r="58" spans="2:104">
      <c r="B58" s="135">
        <f t="shared" si="51"/>
        <v>2.2400000000000002</v>
      </c>
      <c r="C58" s="139">
        <f t="shared" si="17"/>
        <v>173.78008287493768</v>
      </c>
      <c r="D58" s="139">
        <f t="shared" si="18"/>
        <v>1091.8924634002592</v>
      </c>
      <c r="E58" s="32" t="str">
        <f t="shared" si="19"/>
        <v>1091.89246340026i</v>
      </c>
      <c r="F58"/>
      <c r="G58" s="153" t="str">
        <f t="shared" si="0"/>
        <v>0.04+0.000077071036507018i</v>
      </c>
      <c r="H58" s="153" t="str">
        <f t="shared" si="1"/>
        <v>1+0.035263504023801i</v>
      </c>
      <c r="I58" t="str">
        <f t="shared" si="20"/>
        <v>0.0399530356070783-0.00133181299538625i</v>
      </c>
      <c r="J58"/>
      <c r="K58" t="str">
        <f t="shared" si="21"/>
        <v>0.04+0.000077071036507018i</v>
      </c>
      <c r="L58" t="str">
        <f t="shared" si="2"/>
        <v>5.43580907071529+0.191685675037782i</v>
      </c>
      <c r="M58" t="str">
        <f t="shared" si="22"/>
        <v>0.00734997037006322-0.000245007316861296i</v>
      </c>
      <c r="N58" s="153" t="str">
        <f t="shared" si="3"/>
        <v>0.0011+0.000240216341948057i</v>
      </c>
      <c r="O58" s="135" t="str">
        <f t="shared" si="4"/>
        <v>0.000242+0.0000528475952285725i</v>
      </c>
      <c r="Q58" s="135" t="str">
        <f t="shared" si="5"/>
        <v>-0.00109189246340026i</v>
      </c>
      <c r="R58" s="135" t="str">
        <f t="shared" si="6"/>
        <v>-4.83192275264325E-07</v>
      </c>
      <c r="S58" s="64" t="str">
        <f t="shared" si="23"/>
        <v>0.999999516807725-0.00109189246340026i</v>
      </c>
      <c r="T58" s="135" t="str">
        <f t="shared" si="7"/>
        <v>0.00999999516807725-0.0000109189246340026i</v>
      </c>
      <c r="U58" s="64" t="str">
        <f t="shared" si="24"/>
        <v>0.0175919655381405-0.000203078646266726i</v>
      </c>
      <c r="W58" s="64" t="str">
        <f t="shared" si="25"/>
        <v>2.27166681641543-0.0494820190303518i</v>
      </c>
      <c r="X58" s="172">
        <f t="shared" si="26"/>
        <v>2.2722056674100464</v>
      </c>
      <c r="Y58" s="188">
        <f t="shared" si="27"/>
        <v>7.128952774747793</v>
      </c>
      <c r="Z58" s="161">
        <f t="shared" si="28"/>
        <v>-1.2478337804511457</v>
      </c>
      <c r="AA58" s="161">
        <f t="shared" si="8"/>
        <v>-1.2478337804511457</v>
      </c>
      <c r="AB58" s="199"/>
      <c r="AC58" s="64" t="str">
        <f t="shared" si="9"/>
        <v>-91584110.479699i</v>
      </c>
      <c r="AD58" s="64" t="str">
        <f t="shared" si="10"/>
        <v>22000-9158411.0479699i</v>
      </c>
      <c r="AE58" s="64" t="str">
        <f t="shared" si="29"/>
        <v>18181.8173147425-8325832.19594503i</v>
      </c>
      <c r="AF58" s="64" t="str">
        <f t="shared" si="11"/>
        <v>10000</v>
      </c>
      <c r="AG58" s="64" t="str">
        <f t="shared" si="12"/>
        <v>-2348310.52512049i</v>
      </c>
      <c r="AH58" s="64" t="str">
        <f t="shared" si="30"/>
        <v>9999.81866523432-42.5830338801605i</v>
      </c>
      <c r="AI58" s="64" t="str">
        <f t="shared" si="31"/>
        <v>5.36363796772642-832.575477084678i</v>
      </c>
      <c r="AJ58" s="161">
        <f t="shared" si="32"/>
        <v>832.59275378484278</v>
      </c>
      <c r="AK58" s="161">
        <f t="shared" si="33"/>
        <v>58.40865253637304</v>
      </c>
      <c r="AL58" s="161">
        <f t="shared" si="34"/>
        <v>-89.630892843297033</v>
      </c>
      <c r="AN58" s="64" t="str">
        <f t="shared" si="35"/>
        <v>-29.0131172147583-1891.5994870905i</v>
      </c>
      <c r="AO58" s="161">
        <f t="shared" si="36"/>
        <v>1891.8219737944582</v>
      </c>
      <c r="AP58" s="161">
        <f t="shared" si="37"/>
        <v>65.537605311120842</v>
      </c>
      <c r="AQ58" s="161">
        <f t="shared" si="38"/>
        <v>-90.878726623748179</v>
      </c>
      <c r="AR58" s="64">
        <f t="shared" si="39"/>
        <v>89.121273376251821</v>
      </c>
      <c r="AT58" s="135" t="str">
        <f t="shared" si="13"/>
        <v>-28660589.8289862i</v>
      </c>
      <c r="AU58" s="135" t="str">
        <f t="shared" si="14"/>
        <v>27456.1383070198-5130033.61623306i</v>
      </c>
      <c r="AV58" s="135" t="str">
        <f t="shared" si="40"/>
        <v>19752.2696357722-4351216.89433096i</v>
      </c>
      <c r="AW58" s="135" t="str">
        <f t="shared" si="15"/>
        <v>10000</v>
      </c>
      <c r="AX58" s="135" t="str">
        <f t="shared" si="16"/>
        <v>1789.92604368691-2202885.06201004i</v>
      </c>
      <c r="AY58" s="135" t="str">
        <f t="shared" si="41"/>
        <v>9999.75705108432-45.3937145313467i</v>
      </c>
      <c r="AZ58" s="135" t="str">
        <f t="shared" si="42"/>
        <v>3.95046849844861-435.114327844582i</v>
      </c>
      <c r="BA58" s="182">
        <f t="shared" si="43"/>
        <v>435.13226092419262</v>
      </c>
      <c r="BB58" s="182">
        <f t="shared" si="44"/>
        <v>52.772425665944589</v>
      </c>
      <c r="BC58" s="182">
        <f t="shared" si="45"/>
        <v>-89.479817283414079</v>
      </c>
      <c r="BE58" s="135" t="str">
        <f t="shared" si="46"/>
        <v>-12.5561872535641-988.63025706886i</v>
      </c>
      <c r="BF58" s="161">
        <f t="shared" si="47"/>
        <v>988.70998934489728</v>
      </c>
      <c r="BG58" s="161">
        <f t="shared" si="48"/>
        <v>59.901378440692383</v>
      </c>
      <c r="BH58" s="161">
        <f t="shared" si="49"/>
        <v>-90.72765106386521</v>
      </c>
      <c r="BI58" s="64">
        <f t="shared" si="50"/>
        <v>89.27234893613479</v>
      </c>
      <c r="BS58" s="64">
        <v>208.92961308540299</v>
      </c>
      <c r="BT58" s="64">
        <v>10.893893345843299</v>
      </c>
      <c r="BU58" s="64">
        <v>-1.15592242064252</v>
      </c>
      <c r="BV58" s="186">
        <v>173.78008287493768</v>
      </c>
      <c r="BW58" s="64">
        <v>10.643584303864056</v>
      </c>
      <c r="BX58" s="64">
        <v>-0.93968182414253942</v>
      </c>
      <c r="BZ58" s="64">
        <v>208.92961308540299</v>
      </c>
      <c r="CA58" s="64">
        <v>6.78381343522374</v>
      </c>
      <c r="CB58" s="64">
        <v>-1.7541785773468701</v>
      </c>
      <c r="CC58" s="186">
        <v>173.78008287493768</v>
      </c>
      <c r="CD58" s="64">
        <v>7.0570677397848574</v>
      </c>
      <c r="CE58" s="64">
        <v>-1.4981735199287445</v>
      </c>
      <c r="CG58" s="64">
        <v>208.92961308540299</v>
      </c>
      <c r="CH58" s="64">
        <v>10.4443265739643</v>
      </c>
      <c r="CI58" s="64">
        <v>-1.63434878229776</v>
      </c>
      <c r="CJ58" s="64">
        <v>173.78008287493768</v>
      </c>
      <c r="CK58" s="64">
        <v>11.048343286014362</v>
      </c>
      <c r="CL58" s="64">
        <v>-1.4363872551008168</v>
      </c>
      <c r="CN58" s="64">
        <v>208.92961308540299</v>
      </c>
      <c r="CO58" s="64">
        <v>7.29726195605729</v>
      </c>
      <c r="CP58" s="64">
        <v>-1.8875462034127299</v>
      </c>
      <c r="CQ58" s="186">
        <v>173.78008287493768</v>
      </c>
      <c r="CR58" s="64">
        <v>7.1167647003135714</v>
      </c>
      <c r="CS58" s="64">
        <v>-1.5498575479895924</v>
      </c>
      <c r="CU58" s="64">
        <v>208.92961308540299</v>
      </c>
      <c r="CV58" s="64">
        <v>4.7478785778977501</v>
      </c>
      <c r="CW58" s="64">
        <v>-1.4237696211933</v>
      </c>
      <c r="CX58" s="139">
        <v>173.78008287493768</v>
      </c>
      <c r="CY58" s="64">
        <v>5.0076264455643145</v>
      </c>
      <c r="CZ58" s="64">
        <v>-1.2132400193548762</v>
      </c>
    </row>
    <row r="59" spans="2:104">
      <c r="B59" s="135">
        <f t="shared" si="51"/>
        <v>2.2800000000000002</v>
      </c>
      <c r="C59" s="139">
        <f t="shared" si="17"/>
        <v>190.54607179632498</v>
      </c>
      <c r="D59" s="139">
        <f t="shared" si="18"/>
        <v>1197.2362786514557</v>
      </c>
      <c r="E59" s="32" t="str">
        <f t="shared" si="19"/>
        <v>1197.23627865146i</v>
      </c>
      <c r="F59"/>
      <c r="G59" s="153" t="str">
        <f t="shared" si="0"/>
        <v>0.04+0.0000845066642202476i</v>
      </c>
      <c r="H59" s="153" t="str">
        <f t="shared" si="1"/>
        <v>1+0.0386656490102628i</v>
      </c>
      <c r="I59" t="str">
        <f t="shared" si="20"/>
        <v>0.0399435506021619-0.00145993664358661i</v>
      </c>
      <c r="J59"/>
      <c r="K59" t="str">
        <f t="shared" si="21"/>
        <v>0.04+0.0000845066642202476i</v>
      </c>
      <c r="L59" t="str">
        <f t="shared" si="2"/>
        <v>5.43580907071529+0.21017908561508i</v>
      </c>
      <c r="M59" t="str">
        <f t="shared" si="22"/>
        <v>0.00734822545871828-0.00026857761643098i</v>
      </c>
      <c r="N59" s="153" t="str">
        <f t="shared" si="3"/>
        <v>0.0011+0.000263391981303321i</v>
      </c>
      <c r="O59" s="135" t="str">
        <f t="shared" si="4"/>
        <v>0.000242+0.0000579462358867306i</v>
      </c>
      <c r="Q59" s="135" t="str">
        <f t="shared" si="5"/>
        <v>-0.00119723627865146i</v>
      </c>
      <c r="R59" s="135" t="str">
        <f t="shared" si="6"/>
        <v>-5.80924887632169E-07</v>
      </c>
      <c r="S59" s="64" t="str">
        <f t="shared" si="23"/>
        <v>0.999999419075112-0.00119723627865146i</v>
      </c>
      <c r="T59" s="135" t="str">
        <f t="shared" si="7"/>
        <v>0.00999999419075112-0.0000119723627865146i</v>
      </c>
      <c r="U59" s="64" t="str">
        <f t="shared" si="24"/>
        <v>0.0175902196494694-0.000222603743330764i</v>
      </c>
      <c r="W59" s="64" t="str">
        <f t="shared" si="25"/>
        <v>2.27146835170091-0.054251698083225i</v>
      </c>
      <c r="X59" s="172">
        <f t="shared" si="26"/>
        <v>2.272116132490539</v>
      </c>
      <c r="Y59" s="188">
        <f t="shared" si="27"/>
        <v>7.1286105056638949</v>
      </c>
      <c r="Z59" s="161">
        <f t="shared" si="28"/>
        <v>-1.3681909661323297</v>
      </c>
      <c r="AA59" s="161">
        <f t="shared" si="8"/>
        <v>-1.3681909661323297</v>
      </c>
      <c r="AB59" s="199"/>
      <c r="AC59" s="64" t="str">
        <f t="shared" si="9"/>
        <v>-83525701.4702546i</v>
      </c>
      <c r="AD59" s="64" t="str">
        <f t="shared" si="10"/>
        <v>22000-8352570.14702546i</v>
      </c>
      <c r="AE59" s="64" t="str">
        <f t="shared" si="29"/>
        <v>18181.8171393639-7593249.94179118i</v>
      </c>
      <c r="AF59" s="64" t="str">
        <f t="shared" si="11"/>
        <v>10000</v>
      </c>
      <c r="AG59" s="64" t="str">
        <f t="shared" si="12"/>
        <v>-2141684.65308345i</v>
      </c>
      <c r="AH59" s="64" t="str">
        <f t="shared" si="30"/>
        <v>9999.78198846008-46.6911969232402i</v>
      </c>
      <c r="AI59" s="64" t="str">
        <f t="shared" si="31"/>
        <v>5.36363829217677-759.316504685993i</v>
      </c>
      <c r="AJ59" s="161">
        <f t="shared" si="32"/>
        <v>759.33544820736699</v>
      </c>
      <c r="AK59" s="161">
        <f t="shared" si="33"/>
        <v>57.608673492132397</v>
      </c>
      <c r="AL59" s="161">
        <f t="shared" si="34"/>
        <v>-89.595282436374887</v>
      </c>
      <c r="AN59" s="64" t="str">
        <f t="shared" si="35"/>
        <v>-29.0108751311835-1725.05439580364i</v>
      </c>
      <c r="AO59" s="161">
        <f t="shared" si="36"/>
        <v>1725.298321843889</v>
      </c>
      <c r="AP59" s="161">
        <f t="shared" si="37"/>
        <v>64.737283997796283</v>
      </c>
      <c r="AQ59" s="161">
        <f t="shared" si="38"/>
        <v>-90.963473402507205</v>
      </c>
      <c r="AR59" s="64">
        <f t="shared" si="39"/>
        <v>89.036526597492795</v>
      </c>
      <c r="AT59" s="135" t="str">
        <f t="shared" si="13"/>
        <v>-26138768.5863691i</v>
      </c>
      <c r="AU59" s="135" t="str">
        <f t="shared" si="14"/>
        <v>27456.1383070198-4678646.26426474i</v>
      </c>
      <c r="AV59" s="135" t="str">
        <f t="shared" si="40"/>
        <v>19752.2669980888-3968359.93261633i</v>
      </c>
      <c r="AW59" s="135" t="str">
        <f t="shared" si="15"/>
        <v>10000</v>
      </c>
      <c r="AX59" s="135" t="str">
        <f t="shared" si="16"/>
        <v>1789.92604368691-2009055.05440837i</v>
      </c>
      <c r="AY59" s="135" t="str">
        <f t="shared" si="41"/>
        <v>9999.70791285148-49.7729298630732i</v>
      </c>
      <c r="AZ59" s="135" t="str">
        <f t="shared" si="42"/>
        <v>3.9504709181618-396.827921444042i</v>
      </c>
      <c r="BA59" s="182">
        <f t="shared" si="43"/>
        <v>396.84758466957305</v>
      </c>
      <c r="BB59" s="182">
        <f t="shared" si="44"/>
        <v>51.972474828130125</v>
      </c>
      <c r="BC59" s="182">
        <f t="shared" si="45"/>
        <v>-89.429632287358771</v>
      </c>
      <c r="BE59" s="135" t="str">
        <f t="shared" si="46"/>
        <v>-12.5552189202565-901.596384386935i</v>
      </c>
      <c r="BF59" s="161">
        <f t="shared" si="47"/>
        <v>901.68379926764214</v>
      </c>
      <c r="BG59" s="161">
        <f t="shared" si="48"/>
        <v>59.101085333794018</v>
      </c>
      <c r="BH59" s="161">
        <f t="shared" si="49"/>
        <v>-90.797823253491089</v>
      </c>
      <c r="BI59" s="64">
        <f t="shared" si="50"/>
        <v>89.202176746508911</v>
      </c>
      <c r="BS59" s="64">
        <v>229.08676527677699</v>
      </c>
      <c r="BT59" s="64">
        <v>10.8937448375946</v>
      </c>
      <c r="BU59" s="64">
        <v>-1.26744372435234</v>
      </c>
      <c r="BV59" s="186">
        <v>190.54607179632498</v>
      </c>
      <c r="BW59" s="64">
        <v>10.643498330498682</v>
      </c>
      <c r="BX59" s="64">
        <v>-1.0303424750544923</v>
      </c>
      <c r="BZ59" s="64">
        <v>229.08676527677699</v>
      </c>
      <c r="CA59" s="64">
        <v>6.7830767795690399</v>
      </c>
      <c r="CB59" s="64">
        <v>-1.92331627996121</v>
      </c>
      <c r="CC59" s="186">
        <v>190.54607179632498</v>
      </c>
      <c r="CD59" s="64">
        <v>7.0565221055157075</v>
      </c>
      <c r="CE59" s="64">
        <v>-1.6426492524155769</v>
      </c>
      <c r="CG59" s="64">
        <v>229.08676527677699</v>
      </c>
      <c r="CH59" s="64">
        <v>10.444729762036101</v>
      </c>
      <c r="CI59" s="64">
        <v>-1.7921625912213099</v>
      </c>
      <c r="CJ59" s="64">
        <v>190.54607179632498</v>
      </c>
      <c r="CK59" s="64">
        <v>11.04856086713041</v>
      </c>
      <c r="CL59" s="64">
        <v>-1.5750408897817707</v>
      </c>
      <c r="CN59" s="64">
        <v>229.08676527677699</v>
      </c>
      <c r="CO59" s="64">
        <v>7.2964521953289303</v>
      </c>
      <c r="CP59" s="64">
        <v>-2.0695366503061701</v>
      </c>
      <c r="CQ59" s="186">
        <v>190.54607179632498</v>
      </c>
      <c r="CR59" s="64">
        <v>7.1162312851070384</v>
      </c>
      <c r="CS59" s="64">
        <v>-1.6993230706637181</v>
      </c>
      <c r="CU59" s="64">
        <v>229.08676527677699</v>
      </c>
      <c r="CV59" s="64">
        <v>4.7474245247384497</v>
      </c>
      <c r="CW59" s="64">
        <v>-1.56108330198926</v>
      </c>
      <c r="CX59" s="139">
        <v>190.54607179632498</v>
      </c>
      <c r="CY59" s="64">
        <v>5.0072904163694298</v>
      </c>
      <c r="CZ59" s="64">
        <v>-1.3302599199084852</v>
      </c>
    </row>
    <row r="60" spans="2:104">
      <c r="B60" s="135">
        <f t="shared" si="51"/>
        <v>2.3200000000000003</v>
      </c>
      <c r="C60" s="139">
        <f t="shared" si="17"/>
        <v>208.92961308540416</v>
      </c>
      <c r="D60" s="139">
        <f t="shared" si="18"/>
        <v>1312.7434751729272</v>
      </c>
      <c r="E60" s="32" t="str">
        <f t="shared" si="19"/>
        <v>1312.74347517293i</v>
      </c>
      <c r="F60"/>
      <c r="G60" s="153" t="str">
        <f t="shared" si="0"/>
        <v>0.04+0.0000926596529677764i</v>
      </c>
      <c r="H60" s="153" t="str">
        <f t="shared" si="1"/>
        <v>1+0.0423960222660765i</v>
      </c>
      <c r="I60" t="str">
        <f t="shared" si="20"/>
        <v>0.0399321534414956-0.00160030481347025i</v>
      </c>
      <c r="J60"/>
      <c r="K60" t="str">
        <f t="shared" si="21"/>
        <v>0.04+0.0000926596529677764i</v>
      </c>
      <c r="L60" t="str">
        <f t="shared" si="2"/>
        <v>5.43580907071529+0.230456682396186i</v>
      </c>
      <c r="M60" t="str">
        <f t="shared" si="22"/>
        <v>0.00734612877715387-0.000294400482550369i</v>
      </c>
      <c r="N60" s="153" t="str">
        <f t="shared" si="3"/>
        <v>0.0011+0.000288803564538045i</v>
      </c>
      <c r="O60" s="135" t="str">
        <f t="shared" si="4"/>
        <v>0.000242+0.0000635367841983699i</v>
      </c>
      <c r="Q60" s="135" t="str">
        <f t="shared" si="5"/>
        <v>-0.00131274347517293i</v>
      </c>
      <c r="R60" s="135" t="str">
        <f t="shared" si="6"/>
        <v>-6.98425331584269E-07</v>
      </c>
      <c r="S60" s="64" t="str">
        <f t="shared" si="23"/>
        <v>0.999999301574668-0.00131274347517293i</v>
      </c>
      <c r="T60" s="135" t="str">
        <f t="shared" si="7"/>
        <v>0.00999999301574668-0.0000131274347517293i</v>
      </c>
      <c r="U60" s="64" t="str">
        <f t="shared" si="24"/>
        <v>0.0175881217929005-0.000243991133103728i</v>
      </c>
      <c r="W60" s="64" t="str">
        <f t="shared" si="25"/>
        <v>2.27122978517179-0.0594801933353411i</v>
      </c>
      <c r="X60" s="172">
        <f t="shared" si="26"/>
        <v>2.2720085014037044</v>
      </c>
      <c r="Y60" s="188">
        <f t="shared" si="27"/>
        <v>7.1281990417110483</v>
      </c>
      <c r="Z60" s="161">
        <f t="shared" si="28"/>
        <v>-1.5001499539150196</v>
      </c>
      <c r="AA60" s="161">
        <f t="shared" si="8"/>
        <v>-1.5001499539150196</v>
      </c>
      <c r="AB60" s="199"/>
      <c r="AC60" s="64" t="str">
        <f t="shared" si="9"/>
        <v>-76176345.1056781i</v>
      </c>
      <c r="AD60" s="64" t="str">
        <f t="shared" si="10"/>
        <v>22000-7617634.5105678i</v>
      </c>
      <c r="AE60" s="64" t="str">
        <f t="shared" si="29"/>
        <v>18181.8169285125-6925127.05594667i</v>
      </c>
      <c r="AF60" s="64" t="str">
        <f t="shared" si="11"/>
        <v>10000</v>
      </c>
      <c r="AG60" s="64" t="str">
        <f t="shared" si="12"/>
        <v>-1953239.61809431i</v>
      </c>
      <c r="AH60" s="64" t="str">
        <f t="shared" si="30"/>
        <v>9999.73789363501-51.1956536259044i</v>
      </c>
      <c r="AI60" s="64" t="str">
        <f t="shared" si="31"/>
        <v>5.36363868225187-692.503397050666i</v>
      </c>
      <c r="AJ60" s="161">
        <f t="shared" si="32"/>
        <v>692.52416820398844</v>
      </c>
      <c r="AK60" s="161">
        <f t="shared" si="33"/>
        <v>56.808698686411375</v>
      </c>
      <c r="AL60" s="161">
        <f t="shared" si="34"/>
        <v>-89.556236524391124</v>
      </c>
      <c r="AN60" s="64" t="str">
        <f t="shared" si="35"/>
        <v>-29.0081800099241-1573.15337197992i</v>
      </c>
      <c r="AO60" s="161">
        <f t="shared" si="36"/>
        <v>1573.4207975869904</v>
      </c>
      <c r="AP60" s="161">
        <f t="shared" si="37"/>
        <v>63.936897728122418</v>
      </c>
      <c r="AQ60" s="161">
        <f t="shared" si="38"/>
        <v>-91.056386478306123</v>
      </c>
      <c r="AR60" s="64">
        <f t="shared" si="39"/>
        <v>88.943613521693877</v>
      </c>
      <c r="AT60" s="135" t="str">
        <f t="shared" si="13"/>
        <v>-23838840.2781844i</v>
      </c>
      <c r="AU60" s="135" t="str">
        <f t="shared" si="14"/>
        <v>27456.1383070198-4266976.10652148i</v>
      </c>
      <c r="AV60" s="135" t="str">
        <f t="shared" si="40"/>
        <v>19752.2638268966-3619190.51924194i</v>
      </c>
      <c r="AW60" s="135" t="str">
        <f t="shared" si="15"/>
        <v>10000</v>
      </c>
      <c r="AX60" s="135" t="str">
        <f t="shared" si="16"/>
        <v>1789.92604368691-1832279.98648321i</v>
      </c>
      <c r="AY60" s="135" t="str">
        <f t="shared" si="41"/>
        <v>9999.6488364555-54.5745522220697i</v>
      </c>
      <c r="AZ60" s="135" t="str">
        <f t="shared" si="42"/>
        <v>3.95047382729502-361.910201357085i</v>
      </c>
      <c r="BA60" s="182">
        <f t="shared" si="43"/>
        <v>361.93176164822273</v>
      </c>
      <c r="BB60" s="182">
        <f t="shared" si="44"/>
        <v>51.172533933691653</v>
      </c>
      <c r="BC60" s="182">
        <f t="shared" si="45"/>
        <v>-89.374605945255382</v>
      </c>
      <c r="BE60" s="135" t="str">
        <f t="shared" si="46"/>
        <v>-12.5540549246576-822.216203826745i</v>
      </c>
      <c r="BF60" s="161">
        <f t="shared" si="47"/>
        <v>822.312039392781</v>
      </c>
      <c r="BG60" s="161">
        <f t="shared" si="48"/>
        <v>58.300732975402703</v>
      </c>
      <c r="BH60" s="161">
        <f t="shared" si="49"/>
        <v>-90.87475589917041</v>
      </c>
      <c r="BI60" s="64">
        <f t="shared" si="50"/>
        <v>89.12524410082959</v>
      </c>
      <c r="BS60" s="64">
        <v>251.188643150958</v>
      </c>
      <c r="BT60" s="64">
        <v>10.8935662832454</v>
      </c>
      <c r="BU60" s="64">
        <v>-1.38972439898708</v>
      </c>
      <c r="BV60" s="186">
        <v>208.92961308540416</v>
      </c>
      <c r="BW60" s="64">
        <v>10.643394962348705</v>
      </c>
      <c r="BX60" s="64">
        <v>-1.129750488152041</v>
      </c>
      <c r="BZ60" s="64">
        <v>251.188643150958</v>
      </c>
      <c r="CA60" s="64">
        <v>6.7821912886961799</v>
      </c>
      <c r="CB60" s="64">
        <v>-2.1087395610929098</v>
      </c>
      <c r="CC60" s="186">
        <v>208.92961308540416</v>
      </c>
      <c r="CD60" s="64">
        <v>7.0558661991354024</v>
      </c>
      <c r="CE60" s="64">
        <v>-1.8010429603465969</v>
      </c>
      <c r="CG60" s="64">
        <v>251.188643150958</v>
      </c>
      <c r="CH60" s="64">
        <v>10.445214353964399</v>
      </c>
      <c r="CI60" s="64">
        <v>-1.9652448921655601</v>
      </c>
      <c r="CJ60" s="64">
        <v>208.92961308540416</v>
      </c>
      <c r="CK60" s="64">
        <v>11.048822379907868</v>
      </c>
      <c r="CL60" s="64">
        <v>-1.7270949945145326</v>
      </c>
      <c r="CN60" s="64">
        <v>251.188643150958</v>
      </c>
      <c r="CO60" s="64">
        <v>7.2954788437161104</v>
      </c>
      <c r="CP60" s="64">
        <v>-2.2690481339124</v>
      </c>
      <c r="CQ60" s="186">
        <v>208.92961308540416</v>
      </c>
      <c r="CR60" s="64">
        <v>7.1155900627348858</v>
      </c>
      <c r="CS60" s="64">
        <v>-1.8631890581941217</v>
      </c>
      <c r="CU60" s="64">
        <v>251.188643150958</v>
      </c>
      <c r="CV60" s="64">
        <v>4.7468786942861998</v>
      </c>
      <c r="CW60" s="64">
        <v>-1.7116291592634001</v>
      </c>
      <c r="CX60" s="139">
        <v>208.92961308540416</v>
      </c>
      <c r="CY60" s="64">
        <v>5.006886454244821</v>
      </c>
      <c r="CZ60" s="64">
        <v>-1.4585597295770452</v>
      </c>
    </row>
    <row r="61" spans="2:104">
      <c r="B61" s="135">
        <f t="shared" si="51"/>
        <v>2.3600000000000003</v>
      </c>
      <c r="C61" s="139">
        <f t="shared" si="17"/>
        <v>229.08676527677764</v>
      </c>
      <c r="D61" s="139">
        <f t="shared" si="18"/>
        <v>1439.394597656348</v>
      </c>
      <c r="E61" s="32" t="str">
        <f t="shared" si="19"/>
        <v>1439.39459765635i</v>
      </c>
      <c r="F61"/>
      <c r="G61" s="153" t="str">
        <f t="shared" si="0"/>
        <v>0.04+0.000101599207701542i</v>
      </c>
      <c r="H61" s="153" t="str">
        <f t="shared" si="1"/>
        <v>1+0.0464862892170978i</v>
      </c>
      <c r="I61" t="str">
        <f t="shared" si="20"/>
        <v>0.0399184601722826-0.00175406187696838i</v>
      </c>
      <c r="J61"/>
      <c r="K61" t="str">
        <f t="shared" si="21"/>
        <v>0.04+0.000101599207701542i</v>
      </c>
      <c r="L61" t="str">
        <f t="shared" si="2"/>
        <v>5.43580907071529+0.252690592590194i</v>
      </c>
      <c r="M61" t="str">
        <f t="shared" si="22"/>
        <v>0.0073436096913959-0.000322686439893218i</v>
      </c>
      <c r="N61" s="153" t="str">
        <f t="shared" si="3"/>
        <v>0.0011+0.000316666811484397i</v>
      </c>
      <c r="O61" s="135" t="str">
        <f t="shared" si="4"/>
        <v>0.000242+0.0000696666985265673i</v>
      </c>
      <c r="Q61" s="135" t="str">
        <f t="shared" si="5"/>
        <v>-0.00143939459765635i</v>
      </c>
      <c r="R61" s="135" t="str">
        <f t="shared" si="6"/>
        <v>-8.39691936399643E-07</v>
      </c>
      <c r="S61" s="64" t="str">
        <f t="shared" si="23"/>
        <v>0.999999160308064-0.00143939459765635i</v>
      </c>
      <c r="T61" s="135" t="str">
        <f t="shared" si="7"/>
        <v>0.00999999160308064-0.0000143939459765635i</v>
      </c>
      <c r="U61" s="64" t="str">
        <f t="shared" si="24"/>
        <v>0.0175856012944765-0.000267413687343214i</v>
      </c>
      <c r="W61" s="64" t="str">
        <f t="shared" si="25"/>
        <v>2.27094302369832-0.0652113402352105i</v>
      </c>
      <c r="X61" s="172">
        <f t="shared" si="26"/>
        <v>2.2718791199752117</v>
      </c>
      <c r="Y61" s="188">
        <f t="shared" si="27"/>
        <v>7.1277044023612026</v>
      </c>
      <c r="Z61" s="161">
        <f t="shared" si="28"/>
        <v>-1.644826871237614</v>
      </c>
      <c r="AA61" s="161">
        <f t="shared" si="8"/>
        <v>-1.644826871237614</v>
      </c>
      <c r="AB61" s="199"/>
      <c r="AC61" s="64" t="str">
        <f t="shared" si="9"/>
        <v>-69473652.4388949i</v>
      </c>
      <c r="AD61" s="64" t="str">
        <f t="shared" si="10"/>
        <v>22000-6947365.24388948i</v>
      </c>
      <c r="AE61" s="64" t="str">
        <f t="shared" si="29"/>
        <v>18181.8166750134-6315791.81951581i</v>
      </c>
      <c r="AF61" s="64" t="str">
        <f t="shared" si="11"/>
        <v>10000</v>
      </c>
      <c r="AG61" s="64" t="str">
        <f t="shared" si="12"/>
        <v>-1781375.70356141i</v>
      </c>
      <c r="AH61" s="64" t="str">
        <f t="shared" si="30"/>
        <v>9999.68488050988-56.1346203415598i</v>
      </c>
      <c r="AI61" s="64" t="str">
        <f t="shared" si="31"/>
        <v>5.36363915122528-631.568975336189i</v>
      </c>
      <c r="AJ61" s="161">
        <f t="shared" si="32"/>
        <v>631.59175044655899</v>
      </c>
      <c r="AK61" s="161">
        <f t="shared" si="33"/>
        <v>56.008728976473847</v>
      </c>
      <c r="AL61" s="161">
        <f t="shared" si="34"/>
        <v>-89.513423695083191</v>
      </c>
      <c r="AN61" s="64" t="str">
        <f t="shared" si="35"/>
        <v>-29.0049404205413-1434.6069286216i</v>
      </c>
      <c r="AO61" s="161">
        <f t="shared" si="36"/>
        <v>1434.9001101881272</v>
      </c>
      <c r="AP61" s="161">
        <f t="shared" si="37"/>
        <v>63.136433378835022</v>
      </c>
      <c r="AQ61" s="161">
        <f t="shared" si="38"/>
        <v>-91.158250566320788</v>
      </c>
      <c r="AR61" s="64">
        <f t="shared" si="39"/>
        <v>88.841749433679212</v>
      </c>
      <c r="AT61" s="135" t="str">
        <f t="shared" si="13"/>
        <v>-21741280.7313784i</v>
      </c>
      <c r="AU61" s="135" t="str">
        <f t="shared" si="14"/>
        <v>27456.1383070198-3891528.46042026i</v>
      </c>
      <c r="AV61" s="135" t="str">
        <f t="shared" si="40"/>
        <v>19752.2600142864-3300744.5426621i</v>
      </c>
      <c r="AW61" s="135" t="str">
        <f t="shared" si="15"/>
        <v>10000</v>
      </c>
      <c r="AX61" s="135" t="str">
        <f t="shared" si="16"/>
        <v>1789.92604368691-1671059.20840759i</v>
      </c>
      <c r="AY61" s="135" t="str">
        <f t="shared" si="41"/>
        <v>9999.57781209518-59.8393054732718i</v>
      </c>
      <c r="AZ61" s="135" t="str">
        <f t="shared" si="42"/>
        <v>3.95047732483967-330.064749818787i</v>
      </c>
      <c r="BA61" s="182">
        <f t="shared" si="43"/>
        <v>330.08839019879588</v>
      </c>
      <c r="BB61" s="182">
        <f t="shared" si="44"/>
        <v>50.372604993648508</v>
      </c>
      <c r="BC61" s="182">
        <f t="shared" si="45"/>
        <v>-89.314271303834971</v>
      </c>
      <c r="BE61" s="135" t="str">
        <f t="shared" si="46"/>
        <v>-12.5526557789595-749.815856890627i</v>
      </c>
      <c r="BF61" s="161">
        <f t="shared" si="47"/>
        <v>749.92092143887419</v>
      </c>
      <c r="BG61" s="161">
        <f t="shared" si="48"/>
        <v>57.500309396009698</v>
      </c>
      <c r="BH61" s="161">
        <f t="shared" si="49"/>
        <v>-90.959098175072597</v>
      </c>
      <c r="BI61" s="64">
        <f t="shared" si="50"/>
        <v>89.040901824927403</v>
      </c>
      <c r="BS61" s="64">
        <v>275.42287033381598</v>
      </c>
      <c r="BT61" s="64">
        <v>10.893351601895599</v>
      </c>
      <c r="BU61" s="64">
        <v>-1.5238024874495399</v>
      </c>
      <c r="BV61" s="186">
        <v>229.08676527677764</v>
      </c>
      <c r="BW61" s="64">
        <v>10.64327067864982</v>
      </c>
      <c r="BX61" s="64">
        <v>-1.2387499793445398</v>
      </c>
      <c r="BZ61" s="64">
        <v>275.42287033381598</v>
      </c>
      <c r="CA61" s="64">
        <v>6.7811269314964999</v>
      </c>
      <c r="CB61" s="64">
        <v>-2.3120092912300199</v>
      </c>
      <c r="CC61" s="186">
        <v>229.08676527677764</v>
      </c>
      <c r="CD61" s="64">
        <v>7.0550777566991982</v>
      </c>
      <c r="CE61" s="64">
        <v>-1.9746908190156927</v>
      </c>
      <c r="CG61" s="64">
        <v>275.42287033381598</v>
      </c>
      <c r="CH61" s="64">
        <v>10.4457967493927</v>
      </c>
      <c r="CI61" s="64">
        <v>-2.1550824171797198</v>
      </c>
      <c r="CJ61" s="64">
        <v>229.08676527677764</v>
      </c>
      <c r="CK61" s="64">
        <v>11.049136675723121</v>
      </c>
      <c r="CL61" s="64">
        <v>-1.893849874716413</v>
      </c>
      <c r="CN61" s="64">
        <v>275.42287033381598</v>
      </c>
      <c r="CO61" s="64">
        <v>7.2943088992888798</v>
      </c>
      <c r="CP61" s="64">
        <v>-2.48775927520634</v>
      </c>
      <c r="CQ61" s="186">
        <v>229.08676527677764</v>
      </c>
      <c r="CR61" s="64">
        <v>7.1148192649161395</v>
      </c>
      <c r="CS61" s="64">
        <v>-2.042838579647678</v>
      </c>
      <c r="CU61" s="64">
        <v>275.42287033381598</v>
      </c>
      <c r="CV61" s="64">
        <v>4.7462225506373201</v>
      </c>
      <c r="CW61" s="64">
        <v>-1.8766788499665099</v>
      </c>
      <c r="CX61" s="139">
        <v>229.08676527677764</v>
      </c>
      <c r="CY61" s="64">
        <v>5.0064008338326662</v>
      </c>
      <c r="CZ61" s="64">
        <v>-1.5992245463133512</v>
      </c>
    </row>
    <row r="62" spans="2:104">
      <c r="B62" s="135">
        <f t="shared" si="51"/>
        <v>2.4000000000000004</v>
      </c>
      <c r="C62" s="139">
        <f t="shared" si="17"/>
        <v>251.18864315095828</v>
      </c>
      <c r="D62" s="139">
        <f t="shared" si="18"/>
        <v>1578.2647919764772</v>
      </c>
      <c r="E62" s="32" t="str">
        <f t="shared" si="19"/>
        <v>1578.26479197648i</v>
      </c>
      <c r="F62"/>
      <c r="G62" s="153" t="str">
        <f t="shared" si="0"/>
        <v>0.04+0.000111401208631769i</v>
      </c>
      <c r="H62" s="153" t="str">
        <f t="shared" si="1"/>
        <v>1+0.0509711698523178i</v>
      </c>
      <c r="I62" t="str">
        <f t="shared" si="20"/>
        <v>0.039902010426489-0.00192245094226576i</v>
      </c>
      <c r="J62"/>
      <c r="K62" t="str">
        <f t="shared" si="21"/>
        <v>0.04+0.000111401208631769i</v>
      </c>
      <c r="L62" t="str">
        <f t="shared" si="2"/>
        <v>5.43580907071529+0.277069547428199i</v>
      </c>
      <c r="M62" t="str">
        <f t="shared" si="22"/>
        <v>0.00734058350972183-0.000353664177173314i</v>
      </c>
      <c r="N62" s="153" t="str">
        <f t="shared" si="3"/>
        <v>0.0011+0.000347218254234826i</v>
      </c>
      <c r="O62" s="135" t="str">
        <f t="shared" si="4"/>
        <v>0.000242+0.0000763880159316617i</v>
      </c>
      <c r="Q62" s="135" t="str">
        <f t="shared" si="5"/>
        <v>-0.00157826479197648i</v>
      </c>
      <c r="R62" s="135" t="str">
        <f t="shared" si="6"/>
        <v>-1.00953175116831E-06</v>
      </c>
      <c r="S62" s="64" t="str">
        <f t="shared" si="23"/>
        <v>0.999998990468249-0.00157826479197648i</v>
      </c>
      <c r="T62" s="135" t="str">
        <f t="shared" si="7"/>
        <v>0.00999998990468249-0.0000157826479197648i</v>
      </c>
      <c r="U62" s="64" t="str">
        <f t="shared" si="24"/>
        <v>0.0175825734144043-0.000293058809161417i</v>
      </c>
      <c r="W62" s="64" t="str">
        <f t="shared" si="25"/>
        <v>2.27059834522255-0.0714930667715085i</v>
      </c>
      <c r="X62" s="172">
        <f t="shared" si="26"/>
        <v>2.2717235976068433</v>
      </c>
      <c r="Y62" s="188">
        <f t="shared" si="27"/>
        <v>7.1271097860567441</v>
      </c>
      <c r="Z62" s="161">
        <f t="shared" si="28"/>
        <v>-1.8034445125820164</v>
      </c>
      <c r="AA62" s="161">
        <f t="shared" si="8"/>
        <v>-1.8034445125820164</v>
      </c>
      <c r="AB62" s="199"/>
      <c r="AC62" s="64" t="str">
        <f t="shared" si="9"/>
        <v>-63360724.0739173i</v>
      </c>
      <c r="AD62" s="64" t="str">
        <f t="shared" si="10"/>
        <v>22000-6336072.40739173i</v>
      </c>
      <c r="AE62" s="64" t="str">
        <f t="shared" si="29"/>
        <v>18181.8163702404-5760071.5640457i</v>
      </c>
      <c r="AF62" s="64" t="str">
        <f t="shared" si="11"/>
        <v>10000</v>
      </c>
      <c r="AG62" s="64" t="str">
        <f t="shared" si="12"/>
        <v>-1624633.95061326i</v>
      </c>
      <c r="AH62" s="64" t="str">
        <f t="shared" si="30"/>
        <v>9999.6211454591-61.5499949492283i</v>
      </c>
      <c r="AI62" s="64" t="str">
        <f t="shared" si="31"/>
        <v>5.36363971505535-575.995965073524i</v>
      </c>
      <c r="AJ62" s="161">
        <f t="shared" si="32"/>
        <v>576.0209374770792</v>
      </c>
      <c r="AK62" s="161">
        <f t="shared" si="33"/>
        <v>55.208765392960757</v>
      </c>
      <c r="AL62" s="161">
        <f t="shared" si="34"/>
        <v>-89.466480574564272</v>
      </c>
      <c r="AN62" s="64" t="str">
        <f t="shared" si="35"/>
        <v>-29.0010465297463-1308.2389482031i</v>
      </c>
      <c r="AO62" s="161">
        <f t="shared" si="36"/>
        <v>1308.5603563823008</v>
      </c>
      <c r="AP62" s="161">
        <f t="shared" si="37"/>
        <v>62.335875179017528</v>
      </c>
      <c r="AQ62" s="161">
        <f t="shared" si="38"/>
        <v>-91.269925087146262</v>
      </c>
      <c r="AR62" s="64">
        <f t="shared" si="39"/>
        <v>88.730074912853738</v>
      </c>
      <c r="AT62" s="135" t="str">
        <f t="shared" si="13"/>
        <v>-19828283.6884969i</v>
      </c>
      <c r="AU62" s="135" t="str">
        <f t="shared" si="14"/>
        <v>27456.1383070198-3549116.1375653i</v>
      </c>
      <c r="AV62" s="135" t="str">
        <f t="shared" si="40"/>
        <v>19752.2554305228-3010318.70367673i</v>
      </c>
      <c r="AW62" s="135" t="str">
        <f t="shared" si="15"/>
        <v>10000</v>
      </c>
      <c r="AX62" s="135" t="str">
        <f t="shared" si="16"/>
        <v>1789.92604368691-1524024.11127323i</v>
      </c>
      <c r="AY62" s="135" t="str">
        <f t="shared" si="41"/>
        <v>9999.4924236075-65.6118331542221i</v>
      </c>
      <c r="AZ62" s="135" t="str">
        <f t="shared" si="42"/>
        <v>3.95048152980927-301.021229661153i</v>
      </c>
      <c r="BA62" s="182">
        <f t="shared" si="43"/>
        <v>301.04715081035062</v>
      </c>
      <c r="BB62" s="182">
        <f t="shared" si="44"/>
        <v>49.572690425701531</v>
      </c>
      <c r="BC62" s="182">
        <f t="shared" si="45"/>
        <v>-89.248116400727341</v>
      </c>
      <c r="BE62" s="135" t="str">
        <f t="shared" si="46"/>
        <v>-12.5509740473892-683.780737985261i</v>
      </c>
      <c r="BF62" s="161">
        <f t="shared" si="47"/>
        <v>683.89591648817907</v>
      </c>
      <c r="BG62" s="161">
        <f t="shared" si="48"/>
        <v>56.699800211758273</v>
      </c>
      <c r="BH62" s="161">
        <f t="shared" si="49"/>
        <v>-91.051560913309359</v>
      </c>
      <c r="BI62" s="64">
        <f t="shared" si="50"/>
        <v>88.948439086690641</v>
      </c>
      <c r="BS62" s="64">
        <v>301.995172040201</v>
      </c>
      <c r="BT62" s="64">
        <v>10.893093481091601</v>
      </c>
      <c r="BU62" s="64">
        <v>-1.67081618014293</v>
      </c>
      <c r="BV62" s="186">
        <v>251.18864315095828</v>
      </c>
      <c r="BW62" s="64">
        <v>10.643121245435607</v>
      </c>
      <c r="BX62" s="64">
        <v>-1.358266562369596</v>
      </c>
      <c r="BZ62" s="64">
        <v>301.995172040201</v>
      </c>
      <c r="CA62" s="64">
        <v>6.7798476350680099</v>
      </c>
      <c r="CB62" s="64">
        <v>-2.5348336526226398</v>
      </c>
      <c r="CC62" s="186">
        <v>251.18864315095828</v>
      </c>
      <c r="CD62" s="64">
        <v>7.0541300289274211</v>
      </c>
      <c r="CE62" s="64">
        <v>-2.1650558180045709</v>
      </c>
      <c r="CG62" s="64">
        <v>301.995172040201</v>
      </c>
      <c r="CH62" s="64">
        <v>10.446496635820001</v>
      </c>
      <c r="CI62" s="64">
        <v>-2.3633096827265598</v>
      </c>
      <c r="CJ62" s="64">
        <v>251.18864315095828</v>
      </c>
      <c r="CK62" s="64">
        <v>11.049514380915701</v>
      </c>
      <c r="CL62" s="64">
        <v>-2.0767336583343359</v>
      </c>
      <c r="CN62" s="64">
        <v>301.995172040201</v>
      </c>
      <c r="CO62" s="64">
        <v>7.2929027235441604</v>
      </c>
      <c r="CP62" s="64">
        <v>-2.72750691009117</v>
      </c>
      <c r="CQ62" s="186">
        <v>251.18864315095828</v>
      </c>
      <c r="CR62" s="64">
        <v>7.1138927369979434</v>
      </c>
      <c r="CS62" s="64">
        <v>-2.239786151667583</v>
      </c>
      <c r="CU62" s="64">
        <v>301.995172040201</v>
      </c>
      <c r="CV62" s="64">
        <v>4.7454338209124103</v>
      </c>
      <c r="CW62" s="64">
        <v>-2.0576251428163101</v>
      </c>
      <c r="CX62" s="139">
        <v>251.18864315095828</v>
      </c>
      <c r="CY62" s="64">
        <v>5.0058170603246595</v>
      </c>
      <c r="CZ62" s="64">
        <v>-1.7534431497665679</v>
      </c>
    </row>
    <row r="63" spans="2:104">
      <c r="B63" s="135">
        <f t="shared" si="51"/>
        <v>2.4400000000000004</v>
      </c>
      <c r="C63" s="139">
        <f t="shared" si="17"/>
        <v>275.42287033381706</v>
      </c>
      <c r="D63" s="139">
        <f t="shared" si="18"/>
        <v>1730.5329321426677</v>
      </c>
      <c r="E63" s="32" t="str">
        <f t="shared" si="19"/>
        <v>1730.53293214267i</v>
      </c>
      <c r="F63"/>
      <c r="G63" s="153" t="str">
        <f t="shared" si="0"/>
        <v>0.04+0.000122148854763114i</v>
      </c>
      <c r="H63" s="153" t="str">
        <f t="shared" si="1"/>
        <v>1+0.0558887332762019i</v>
      </c>
      <c r="I63" t="str">
        <f t="shared" si="20"/>
        <v>0.0398822525146926-0.00210681971848467i</v>
      </c>
      <c r="J63"/>
      <c r="K63" t="str">
        <f t="shared" si="21"/>
        <v>0.04+0.000122148854763114i</v>
      </c>
      <c r="L63" t="str">
        <f t="shared" si="2"/>
        <v>5.43580907071529+0.303800483293566i</v>
      </c>
      <c r="M63" t="str">
        <f t="shared" si="22"/>
        <v>0.00733694874044657-0.00038758162604255i</v>
      </c>
      <c r="N63" s="153" t="str">
        <f t="shared" si="3"/>
        <v>0.0011+0.000380717245071387i</v>
      </c>
      <c r="O63" s="135" t="str">
        <f t="shared" si="4"/>
        <v>0.000242+0.0000837577939157051i</v>
      </c>
      <c r="Q63" s="135" t="str">
        <f t="shared" si="5"/>
        <v>-0.00173053293214267i</v>
      </c>
      <c r="R63" s="135" t="str">
        <f t="shared" si="6"/>
        <v>-0.0000012137241200467</v>
      </c>
      <c r="S63" s="64" t="str">
        <f t="shared" si="23"/>
        <v>0.99999878627588-0.00173053293214267i</v>
      </c>
      <c r="T63" s="135" t="str">
        <f t="shared" si="7"/>
        <v>0.0099999878627588-0.0000173053293214267i</v>
      </c>
      <c r="U63" s="64" t="str">
        <f t="shared" si="24"/>
        <v>0.0175789366032054-0.000321129161448272i</v>
      </c>
      <c r="W63" s="64" t="str">
        <f t="shared" si="25"/>
        <v>2.27018407284948-0.0783777450216222i</v>
      </c>
      <c r="X63" s="172">
        <f t="shared" si="26"/>
        <v>2.2715366595179853</v>
      </c>
      <c r="Y63" s="188">
        <f t="shared" si="27"/>
        <v>7.12639500261138</v>
      </c>
      <c r="Z63" s="161">
        <f t="shared" si="28"/>
        <v>-1.977342308350843</v>
      </c>
      <c r="AA63" s="161">
        <f t="shared" si="8"/>
        <v>-1.977342308350843</v>
      </c>
      <c r="AB63" s="199"/>
      <c r="AC63" s="64" t="str">
        <f t="shared" si="9"/>
        <v>-57785667.1448515i</v>
      </c>
      <c r="AD63" s="64" t="str">
        <f t="shared" si="10"/>
        <v>22000-5778566.71448514i</v>
      </c>
      <c r="AE63" s="64" t="str">
        <f t="shared" si="29"/>
        <v>18181.8160038226-5253248.76056003i</v>
      </c>
      <c r="AF63" s="64" t="str">
        <f t="shared" si="11"/>
        <v>10000</v>
      </c>
      <c r="AG63" s="64" t="str">
        <f t="shared" si="12"/>
        <v>-1481683.77294491i</v>
      </c>
      <c r="AH63" s="64" t="str">
        <f t="shared" si="30"/>
        <v>9999.54452014987-67.4877102843297i</v>
      </c>
      <c r="AI63" s="64" t="str">
        <f t="shared" si="31"/>
        <v>5.3636403929281-525.312605005772i</v>
      </c>
      <c r="AJ63" s="161">
        <f t="shared" si="32"/>
        <v>525.33998669072855</v>
      </c>
      <c r="AK63" s="161">
        <f t="shared" si="33"/>
        <v>54.40880917495052</v>
      </c>
      <c r="AL63" s="161">
        <f t="shared" si="34"/>
        <v>-89.415008747680076</v>
      </c>
      <c r="AN63" s="64" t="str">
        <f t="shared" si="35"/>
        <v>-28.996366419269-1192.97669919028i</v>
      </c>
      <c r="AO63" s="161">
        <f t="shared" si="36"/>
        <v>1193.3290384786824</v>
      </c>
      <c r="AP63" s="161">
        <f t="shared" si="37"/>
        <v>61.535204177561916</v>
      </c>
      <c r="AQ63" s="161">
        <f t="shared" si="38"/>
        <v>-91.392351056030904</v>
      </c>
      <c r="AR63" s="64">
        <f t="shared" si="39"/>
        <v>88.607648943969096</v>
      </c>
      <c r="AT63" s="135" t="str">
        <f t="shared" si="13"/>
        <v>-18083609.6497332i</v>
      </c>
      <c r="AU63" s="135" t="str">
        <f t="shared" si="14"/>
        <v>27456.1383070198-3236832.38759253i</v>
      </c>
      <c r="AV63" s="135" t="str">
        <f t="shared" si="40"/>
        <v>19752.2499196296-2745447.56702826i</v>
      </c>
      <c r="AW63" s="135" t="str">
        <f t="shared" si="15"/>
        <v>10000</v>
      </c>
      <c r="AX63" s="135" t="str">
        <f t="shared" si="16"/>
        <v>1789.92604368691-1389926.50892094i</v>
      </c>
      <c r="AY63" s="135" t="str">
        <f t="shared" si="41"/>
        <v>9999.38976634177-71.9410736816069i</v>
      </c>
      <c r="AZ63" s="135" t="str">
        <f t="shared" si="42"/>
        <v>3.95048658528893-274.533089411321i</v>
      </c>
      <c r="BA63" s="182">
        <f t="shared" si="43"/>
        <v>274.56151137037563</v>
      </c>
      <c r="BB63" s="182">
        <f t="shared" si="44"/>
        <v>48.772793136455533</v>
      </c>
      <c r="BC63" s="182">
        <f t="shared" si="45"/>
        <v>-89.175579935335136</v>
      </c>
      <c r="BE63" s="135" t="str">
        <f t="shared" si="46"/>
        <v>-12.5489527559503-623.550277282036i</v>
      </c>
      <c r="BF63" s="161">
        <f t="shared" si="47"/>
        <v>623.67653837047214</v>
      </c>
      <c r="BG63" s="161">
        <f t="shared" si="48"/>
        <v>55.899188139066915</v>
      </c>
      <c r="BH63" s="161">
        <f t="shared" si="49"/>
        <v>-91.152922243685978</v>
      </c>
      <c r="BI63" s="64">
        <f t="shared" si="50"/>
        <v>88.847077756314022</v>
      </c>
      <c r="BS63" s="64">
        <v>331.13112148259103</v>
      </c>
      <c r="BT63" s="64">
        <v>10.8927831269846</v>
      </c>
      <c r="BU63" s="64">
        <v>-1.8320134764412901</v>
      </c>
      <c r="BV63" s="186">
        <v>275.42287033381706</v>
      </c>
      <c r="BW63" s="64">
        <v>10.642941570803419</v>
      </c>
      <c r="BX63" s="64">
        <v>-1.4893152302279951</v>
      </c>
      <c r="BZ63" s="64">
        <v>331.13112148259103</v>
      </c>
      <c r="CA63" s="64">
        <v>6.7783100770626898</v>
      </c>
      <c r="CB63" s="64">
        <v>-2.7790813143266502</v>
      </c>
      <c r="CC63" s="186">
        <v>275.42287033381706</v>
      </c>
      <c r="CD63" s="64">
        <v>7.0529908819195981</v>
      </c>
      <c r="CE63" s="64">
        <v>-2.3737393312965218</v>
      </c>
      <c r="CG63" s="64">
        <v>331.13112148259103</v>
      </c>
      <c r="CH63" s="64">
        <v>10.447337640573901</v>
      </c>
      <c r="CI63" s="64">
        <v>-2.5917246318927898</v>
      </c>
      <c r="CJ63" s="64">
        <v>275.42287033381706</v>
      </c>
      <c r="CK63" s="64">
        <v>11.049968248948883</v>
      </c>
      <c r="CL63" s="64">
        <v>-2.277315382460015</v>
      </c>
      <c r="CN63" s="64">
        <v>331.13112148259103</v>
      </c>
      <c r="CO63" s="64">
        <v>7.2912127161140203</v>
      </c>
      <c r="CP63" s="64">
        <v>-2.9903001722786899</v>
      </c>
      <c r="CQ63" s="186">
        <v>275.42287033381706</v>
      </c>
      <c r="CR63" s="64">
        <v>7.112779058113726</v>
      </c>
      <c r="CS63" s="64">
        <v>-2.455689790051979</v>
      </c>
      <c r="CU63" s="64">
        <v>331.13112148259103</v>
      </c>
      <c r="CV63" s="64">
        <v>4.74448574481276</v>
      </c>
      <c r="CW63" s="64">
        <v>-2.2559931033200802</v>
      </c>
      <c r="CX63" s="139">
        <v>275.42287033381706</v>
      </c>
      <c r="CY63" s="64">
        <v>5.0051153122792833</v>
      </c>
      <c r="CZ63" s="64">
        <v>-1.9225176847832359</v>
      </c>
    </row>
    <row r="64" spans="2:104">
      <c r="B64" s="135">
        <f t="shared" si="51"/>
        <v>2.4800000000000004</v>
      </c>
      <c r="C64" s="139">
        <f t="shared" si="17"/>
        <v>301.99517204020196</v>
      </c>
      <c r="D64" s="139">
        <f t="shared" si="18"/>
        <v>1897.4916278021683</v>
      </c>
      <c r="E64" s="32" t="str">
        <f t="shared" si="19"/>
        <v>1897.49162780217i</v>
      </c>
      <c r="F64"/>
      <c r="G64" s="153" t="str">
        <f t="shared" si="0"/>
        <v>0.04+0.000133933369364996i</v>
      </c>
      <c r="H64" s="153" t="str">
        <f t="shared" si="1"/>
        <v>1+0.0612807206323158i</v>
      </c>
      <c r="I64" t="str">
        <f t="shared" si="20"/>
        <v>0.039858525746587-0.00230862581172757i</v>
      </c>
      <c r="J64"/>
      <c r="K64" t="str">
        <f t="shared" si="21"/>
        <v>0.04+0.000133933369364996i</v>
      </c>
      <c r="L64" t="str">
        <f t="shared" si="2"/>
        <v>5.43580907071529+0.333110297073112i</v>
      </c>
      <c r="M64" t="str">
        <f t="shared" si="22"/>
        <v>0.00733258383950966-0.000424706935378762i</v>
      </c>
      <c r="N64" s="153" t="str">
        <f t="shared" si="3"/>
        <v>0.0011+0.000417448158116477i</v>
      </c>
      <c r="O64" s="135" t="str">
        <f t="shared" si="4"/>
        <v>0.000242+0.0000918385947856249i</v>
      </c>
      <c r="Q64" s="135" t="str">
        <f t="shared" si="5"/>
        <v>-0.00189749162780217i</v>
      </c>
      <c r="R64" s="135" t="str">
        <f t="shared" si="6"/>
        <v>-1.45921734296946E-06</v>
      </c>
      <c r="S64" s="64" t="str">
        <f t="shared" si="23"/>
        <v>0.999998540782657-0.00189749162780217i</v>
      </c>
      <c r="T64" s="135" t="str">
        <f t="shared" si="7"/>
        <v>0.00999998540782657-0.0000189749162780217i</v>
      </c>
      <c r="U64" s="64" t="str">
        <f t="shared" si="24"/>
        <v>0.0175745692473362-0.000351843256871159i</v>
      </c>
      <c r="W64" s="64" t="str">
        <f t="shared" si="25"/>
        <v>2.26968618459993-0.0859225629493784i</v>
      </c>
      <c r="X64" s="172">
        <f t="shared" si="26"/>
        <v>2.2713119696306752</v>
      </c>
      <c r="Y64" s="188">
        <f t="shared" si="27"/>
        <v>7.1255357921358051</v>
      </c>
      <c r="Z64" s="161">
        <f t="shared" si="28"/>
        <v>-2.1679871534816049</v>
      </c>
      <c r="AA64" s="161">
        <f t="shared" si="8"/>
        <v>-2.1679871534816049</v>
      </c>
      <c r="AB64" s="199"/>
      <c r="AC64" s="64" t="str">
        <f t="shared" si="9"/>
        <v>-52701154.7955172i</v>
      </c>
      <c r="AD64" s="64" t="str">
        <f t="shared" si="10"/>
        <v>22000-5270115.47955172i</v>
      </c>
      <c r="AE64" s="64" t="str">
        <f t="shared" si="29"/>
        <v>18181.8155632917-4791020.97228832i</v>
      </c>
      <c r="AF64" s="64" t="str">
        <f t="shared" si="11"/>
        <v>10000</v>
      </c>
      <c r="AG64" s="64" t="str">
        <f t="shared" si="12"/>
        <v>-1351311.66142352i</v>
      </c>
      <c r="AH64" s="64" t="str">
        <f t="shared" si="30"/>
        <v>9999.45239782042-73.9981211091351i</v>
      </c>
      <c r="AI64" s="64" t="str">
        <f t="shared" si="31"/>
        <v>5.36364120791042-479.088642290136i</v>
      </c>
      <c r="AJ64" s="161">
        <f t="shared" si="32"/>
        <v>479.11866569610191</v>
      </c>
      <c r="AK64" s="161">
        <f t="shared" si="33"/>
        <v>53.608861812107989</v>
      </c>
      <c r="AL64" s="161">
        <f t="shared" si="34"/>
        <v>-89.358571382505787</v>
      </c>
      <c r="AN64" s="64" t="str">
        <f t="shared" si="35"/>
        <v>-28.9907416767613-1087.84173040398i</v>
      </c>
      <c r="AO64" s="161">
        <f t="shared" si="36"/>
        <v>1088.2279602690303</v>
      </c>
      <c r="AP64" s="161">
        <f t="shared" si="37"/>
        <v>60.734397604243767</v>
      </c>
      <c r="AQ64" s="161">
        <f t="shared" si="38"/>
        <v>-91.526558535987377</v>
      </c>
      <c r="AR64" s="64">
        <f t="shared" si="39"/>
        <v>88.473441464012623</v>
      </c>
      <c r="AT64" s="135" t="str">
        <f t="shared" si="13"/>
        <v>-16492448.0152378i</v>
      </c>
      <c r="AU64" s="135" t="str">
        <f t="shared" si="14"/>
        <v>27456.1383070198-2952026.22266266i</v>
      </c>
      <c r="AV64" s="135" t="str">
        <f t="shared" si="40"/>
        <v>19752.2432940827-2503882.63223431i</v>
      </c>
      <c r="AW64" s="135" t="str">
        <f t="shared" si="15"/>
        <v>10000</v>
      </c>
      <c r="AX64" s="135" t="str">
        <f t="shared" si="16"/>
        <v>1789.92604368691-1267628.04204402i</v>
      </c>
      <c r="AY64" s="135" t="str">
        <f t="shared" si="41"/>
        <v>9999.2663484521-78.8806708167127i</v>
      </c>
      <c r="AZ64" s="135" t="str">
        <f t="shared" si="42"/>
        <v>3.95049266330403-250.375470307432i</v>
      </c>
      <c r="BA64" s="182">
        <f t="shared" si="43"/>
        <v>250.40663434492023</v>
      </c>
      <c r="BB64" s="182">
        <f t="shared" si="44"/>
        <v>47.972916620258346</v>
      </c>
      <c r="BC64" s="182">
        <f t="shared" si="45"/>
        <v>-89.096046526264075</v>
      </c>
      <c r="BE64" s="135" t="str">
        <f t="shared" si="46"/>
        <v>-12.546523488206-568.613182374032i</v>
      </c>
      <c r="BF64" s="161">
        <f t="shared" si="47"/>
        <v>568.75158586254895</v>
      </c>
      <c r="BG64" s="161">
        <f t="shared" si="48"/>
        <v>55.098452412394145</v>
      </c>
      <c r="BH64" s="161">
        <f t="shared" si="49"/>
        <v>-91.264033679745694</v>
      </c>
      <c r="BI64" s="64">
        <f t="shared" si="50"/>
        <v>88.735966320254306</v>
      </c>
      <c r="BS64" s="64">
        <v>363.07805477010101</v>
      </c>
      <c r="BT64" s="64">
        <v>10.8924099636717</v>
      </c>
      <c r="BU64" s="64">
        <v>-2.0087627779533999</v>
      </c>
      <c r="BV64" s="186">
        <v>301.99517204020196</v>
      </c>
      <c r="BW64" s="64">
        <v>10.642725530691981</v>
      </c>
      <c r="BX64" s="64">
        <v>-1.6330090028772368</v>
      </c>
      <c r="BZ64" s="64">
        <v>363.07805477010101</v>
      </c>
      <c r="CA64" s="64">
        <v>6.7764622401512504</v>
      </c>
      <c r="CB64" s="64">
        <v>-3.0467955517022598</v>
      </c>
      <c r="CC64" s="186">
        <v>301.99517204020196</v>
      </c>
      <c r="CD64" s="64">
        <v>7.051621719495456</v>
      </c>
      <c r="CE64" s="64">
        <v>-2.6024935937650864</v>
      </c>
      <c r="CG64" s="64">
        <v>363.07805477010101</v>
      </c>
      <c r="CH64" s="64">
        <v>10.448348108772599</v>
      </c>
      <c r="CI64" s="64">
        <v>-2.8423062266709702</v>
      </c>
      <c r="CJ64" s="64">
        <v>301.99517204020196</v>
      </c>
      <c r="CK64" s="64">
        <v>11.050513580738601</v>
      </c>
      <c r="CL64" s="64">
        <v>-2.4973195825378816</v>
      </c>
      <c r="CN64" s="64">
        <v>363.07805477010101</v>
      </c>
      <c r="CO64" s="64">
        <v>7.28918172904672</v>
      </c>
      <c r="CP64" s="64">
        <v>-3.27833556320881</v>
      </c>
      <c r="CQ64" s="186">
        <v>301.99517204020196</v>
      </c>
      <c r="CR64" s="64">
        <v>7.1114404866466208</v>
      </c>
      <c r="CS64" s="64">
        <v>-2.6923640249743945</v>
      </c>
      <c r="CU64" s="64">
        <v>363.07805477010101</v>
      </c>
      <c r="CV64" s="64">
        <v>4.7433461747880603</v>
      </c>
      <c r="CW64" s="64">
        <v>-2.47345219992566</v>
      </c>
      <c r="CX64" s="139">
        <v>301.99517204020196</v>
      </c>
      <c r="CY64" s="64">
        <v>5.0042717730671598</v>
      </c>
      <c r="CZ64" s="64">
        <v>-2.1078741779514552</v>
      </c>
    </row>
    <row r="65" spans="2:104">
      <c r="B65" s="135">
        <f t="shared" si="51"/>
        <v>2.5200000000000005</v>
      </c>
      <c r="C65" s="139">
        <f t="shared" si="17"/>
        <v>331.13112148259165</v>
      </c>
      <c r="D65" s="139">
        <f t="shared" si="18"/>
        <v>2080.5581972493187</v>
      </c>
      <c r="E65" s="32" t="str">
        <f t="shared" si="19"/>
        <v>2080.55819724932i</v>
      </c>
      <c r="F65"/>
      <c r="G65" s="153" t="str">
        <f t="shared" si="0"/>
        <v>0.04+0.00014685477330279i</v>
      </c>
      <c r="H65" s="153" t="str">
        <f t="shared" si="1"/>
        <v>1+0.0671928991206226i</v>
      </c>
      <c r="I65" t="str">
        <f t="shared" si="20"/>
        <v>0.0398300395224071-0.00252944105429672i</v>
      </c>
      <c r="J65"/>
      <c r="K65" t="str">
        <f t="shared" si="21"/>
        <v>0.04+0.00014685477330279i</v>
      </c>
      <c r="L65" t="str">
        <f t="shared" si="2"/>
        <v>5.43580907071529+0.365247770527537i</v>
      </c>
      <c r="M65" t="str">
        <f t="shared" si="22"/>
        <v>0.00732734336402399-0.000465329267711728i</v>
      </c>
      <c r="N65" s="153" t="str">
        <f t="shared" si="3"/>
        <v>0.0011+0.00045772280339485i</v>
      </c>
      <c r="O65" s="135" t="str">
        <f t="shared" si="4"/>
        <v>0.000242+0.000100699016746867i</v>
      </c>
      <c r="Q65" s="135" t="str">
        <f t="shared" si="5"/>
        <v>-0.00208055819724932i</v>
      </c>
      <c r="R65" s="135" t="str">
        <f t="shared" si="6"/>
        <v>-0.0000017543651138291</v>
      </c>
      <c r="S65" s="64" t="str">
        <f t="shared" si="23"/>
        <v>0.999998245634886-0.00208055819724932i</v>
      </c>
      <c r="T65" s="135" t="str">
        <f t="shared" si="7"/>
        <v>0.00999998245634886-0.0000208055819724932i</v>
      </c>
      <c r="U65" s="64" t="str">
        <f t="shared" si="24"/>
        <v>0.0175693258203728-0.000385435832937354i</v>
      </c>
      <c r="W65" s="64" t="str">
        <f t="shared" si="25"/>
        <v>2.26908784651159-0.0941899141200731i</v>
      </c>
      <c r="X65" s="172">
        <f t="shared" si="26"/>
        <v>2.2710419183952886</v>
      </c>
      <c r="Y65" s="188">
        <f t="shared" si="27"/>
        <v>7.1245030081265561</v>
      </c>
      <c r="Z65" s="161">
        <f t="shared" si="28"/>
        <v>-2.3769851465526282</v>
      </c>
      <c r="AA65" s="161">
        <f t="shared" si="8"/>
        <v>-2.3769851465526282</v>
      </c>
      <c r="AB65" s="199"/>
      <c r="AC65" s="64" t="str">
        <f t="shared" si="9"/>
        <v>-48064024.4200853i</v>
      </c>
      <c r="AD65" s="64" t="str">
        <f t="shared" si="10"/>
        <v>22000-4806402.44200853i</v>
      </c>
      <c r="AE65" s="64" t="str">
        <f t="shared" si="29"/>
        <v>18181.815033657-4369464.33112717i</v>
      </c>
      <c r="AF65" s="64" t="str">
        <f t="shared" si="11"/>
        <v>10000</v>
      </c>
      <c r="AG65" s="64" t="str">
        <f t="shared" si="12"/>
        <v>-1232410.88256629i</v>
      </c>
      <c r="AH65" s="64" t="str">
        <f t="shared" si="30"/>
        <v>9999.34164466714-81.136427681044i</v>
      </c>
      <c r="AI65" s="64" t="str">
        <f t="shared" si="31"/>
        <v>5.36364218773461-436.931680066236i</v>
      </c>
      <c r="AJ65" s="161">
        <f t="shared" si="32"/>
        <v>436.96460005705467</v>
      </c>
      <c r="AK65" s="161">
        <f t="shared" si="33"/>
        <v>52.808925095352912</v>
      </c>
      <c r="AL65" s="161">
        <f t="shared" si="34"/>
        <v>-89.29668953084024</v>
      </c>
      <c r="AN65" s="64" t="str">
        <f t="shared" si="35"/>
        <v>-28.9839821205526-991.94156599122i</v>
      </c>
      <c r="AO65" s="161">
        <f t="shared" si="36"/>
        <v>992.36492358440319</v>
      </c>
      <c r="AP65" s="161">
        <f t="shared" si="37"/>
        <v>59.933428103479464</v>
      </c>
      <c r="AQ65" s="161">
        <f t="shared" si="38"/>
        <v>-91.673674677392853</v>
      </c>
      <c r="AR65" s="64">
        <f t="shared" si="39"/>
        <v>88.326325322607147</v>
      </c>
      <c r="AT65" s="135" t="str">
        <f t="shared" si="13"/>
        <v>-15041291.3574107i</v>
      </c>
      <c r="AU65" s="135" t="str">
        <f t="shared" si="14"/>
        <v>27456.1383070198-2692279.91313122i</v>
      </c>
      <c r="AV65" s="135" t="str">
        <f t="shared" si="40"/>
        <v>19752.2353284293-2283573.24598716i</v>
      </c>
      <c r="AW65" s="135" t="str">
        <f t="shared" si="15"/>
        <v>10000</v>
      </c>
      <c r="AX65" s="135" t="str">
        <f t="shared" si="16"/>
        <v>1789.92604368691-1156090.51461565i</v>
      </c>
      <c r="AY65" s="135" t="str">
        <f t="shared" si="41"/>
        <v>9999.11797226787-86.4894224925907i</v>
      </c>
      <c r="AZ65" s="135" t="str">
        <f t="shared" si="42"/>
        <v>3.95049997067345-228.343297464695i</v>
      </c>
      <c r="BA65" s="182">
        <f t="shared" si="43"/>
        <v>228.37746812474404</v>
      </c>
      <c r="BB65" s="182">
        <f t="shared" si="44"/>
        <v>47.173065078009024</v>
      </c>
      <c r="BC65" s="182">
        <f t="shared" si="45"/>
        <v>-89.008841516763326</v>
      </c>
      <c r="BE65" s="135" t="str">
        <f t="shared" si="46"/>
        <v>-12.5436041069944-518.503098362489i</v>
      </c>
      <c r="BF65" s="161">
        <f t="shared" si="47"/>
        <v>518.65480332827724</v>
      </c>
      <c r="BG65" s="161">
        <f t="shared" si="48"/>
        <v>54.297568086135577</v>
      </c>
      <c r="BH65" s="161">
        <f t="shared" si="49"/>
        <v>-91.385826663315939</v>
      </c>
      <c r="BI65" s="64">
        <f t="shared" si="50"/>
        <v>88.614173336684061</v>
      </c>
      <c r="BS65" s="64">
        <v>398.10717055349699</v>
      </c>
      <c r="BT65" s="64">
        <v>10.891961271243501</v>
      </c>
      <c r="BU65" s="64">
        <v>-2.2025645032775398</v>
      </c>
      <c r="BV65" s="186">
        <v>331.13112148259165</v>
      </c>
      <c r="BW65" s="64">
        <v>10.642465759112593</v>
      </c>
      <c r="BX65" s="64">
        <v>-1.7905684169378875</v>
      </c>
      <c r="BZ65" s="64">
        <v>398.10717055349699</v>
      </c>
      <c r="CA65" s="64">
        <v>6.7742416832827397</v>
      </c>
      <c r="CB65" s="64">
        <v>-3.34020929954707</v>
      </c>
      <c r="CC65" s="186">
        <v>331.13112148259165</v>
      </c>
      <c r="CD65" s="64">
        <v>7.0499761926396758</v>
      </c>
      <c r="CE65" s="64">
        <v>-2.8532351056490692</v>
      </c>
      <c r="CG65" s="64">
        <v>398.10717055349699</v>
      </c>
      <c r="CH65" s="64">
        <v>10.4495620301798</v>
      </c>
      <c r="CI65" s="64">
        <v>-3.1172343190188498</v>
      </c>
      <c r="CJ65" s="64">
        <v>331.13112148259165</v>
      </c>
      <c r="CK65" s="64">
        <v>11.051168725569854</v>
      </c>
      <c r="CL65" s="64">
        <v>-2.7386426054517643</v>
      </c>
      <c r="CN65" s="64">
        <v>398.10717055349699</v>
      </c>
      <c r="CO65" s="64">
        <v>7.28674117122506</v>
      </c>
      <c r="CP65" s="64">
        <v>-3.59401298843235</v>
      </c>
      <c r="CQ65" s="186">
        <v>331.13112148259165</v>
      </c>
      <c r="CR65" s="64">
        <v>7.1098316971091755</v>
      </c>
      <c r="CS65" s="64">
        <v>-2.9517939103377966</v>
      </c>
      <c r="CU65" s="64">
        <v>398.10717055349699</v>
      </c>
      <c r="CV65" s="64">
        <v>4.7419764976685297</v>
      </c>
      <c r="CW65" s="64">
        <v>-2.7118293704898502</v>
      </c>
      <c r="CX65" s="139">
        <v>331.13112148259165</v>
      </c>
      <c r="CY65" s="64">
        <v>5.0032578289991427</v>
      </c>
      <c r="CZ65" s="64">
        <v>-2.3110739356348016</v>
      </c>
    </row>
    <row r="66" spans="2:104">
      <c r="B66" s="135">
        <f t="shared" si="51"/>
        <v>2.5600000000000005</v>
      </c>
      <c r="C66" s="139">
        <f t="shared" si="17"/>
        <v>363.0780547701018</v>
      </c>
      <c r="D66" s="139">
        <f t="shared" si="18"/>
        <v>2281.2866990908487</v>
      </c>
      <c r="E66" s="32" t="str">
        <f t="shared" si="19"/>
        <v>2281.28669909085i</v>
      </c>
      <c r="F66"/>
      <c r="G66" s="153" t="str">
        <f t="shared" si="0"/>
        <v>0.04+0.000161022732712683i</v>
      </c>
      <c r="H66" s="153" t="str">
        <f t="shared" si="1"/>
        <v>1+0.0736754500887689i</v>
      </c>
      <c r="I66" t="str">
        <f t="shared" si="20"/>
        <v>0.039795848692461-0.00277095433136892i</v>
      </c>
      <c r="J66"/>
      <c r="K66" t="str">
        <f t="shared" si="21"/>
        <v>0.04+0.000161022732712683i</v>
      </c>
      <c r="L66" t="str">
        <f t="shared" si="2"/>
        <v>5.43580907071529+0.400485679881561i</v>
      </c>
      <c r="M66" t="str">
        <f t="shared" si="22"/>
        <v>0.00732105343928577-0.000509759319233097i</v>
      </c>
      <c r="N66" s="153" t="str">
        <f t="shared" si="3"/>
        <v>0.0011+0.000501883073799987i</v>
      </c>
      <c r="O66" s="135" t="str">
        <f t="shared" si="4"/>
        <v>0.000242+0.000110414276235997i</v>
      </c>
      <c r="Q66" s="135" t="str">
        <f t="shared" si="5"/>
        <v>-0.00228128669909085i</v>
      </c>
      <c r="R66" s="135" t="str">
        <f t="shared" si="6"/>
        <v>-2.10921078169026E-06</v>
      </c>
      <c r="S66" s="64" t="str">
        <f t="shared" si="23"/>
        <v>0.999997890789218-0.00228128669909085i</v>
      </c>
      <c r="T66" s="135" t="str">
        <f t="shared" si="7"/>
        <v>0.00999997890789218-0.0000228128669909085i</v>
      </c>
      <c r="U66" s="64" t="str">
        <f t="shared" si="24"/>
        <v>0.0175630323471779-0.000422157909988008i</v>
      </c>
      <c r="W66" s="64" t="str">
        <f t="shared" si="25"/>
        <v>2.26836885459209-0.103247801449492i</v>
      </c>
      <c r="X66" s="172">
        <f t="shared" si="26"/>
        <v>2.2707173688038735</v>
      </c>
      <c r="Y66" s="188">
        <f t="shared" si="27"/>
        <v>7.1232616380936467</v>
      </c>
      <c r="Z66" s="161">
        <f t="shared" si="28"/>
        <v>-2.6060942849545827</v>
      </c>
      <c r="AA66" s="161">
        <f t="shared" si="8"/>
        <v>-2.6060942849545827</v>
      </c>
      <c r="AB66" s="199"/>
      <c r="AC66" s="64" t="str">
        <f t="shared" si="9"/>
        <v>-43834911.254185i</v>
      </c>
      <c r="AD66" s="64" t="str">
        <f t="shared" si="10"/>
        <v>22000-4383491.1254185i</v>
      </c>
      <c r="AE66" s="64" t="str">
        <f t="shared" si="29"/>
        <v>18181.8143968961-3985000.2277849i</v>
      </c>
      <c r="AF66" s="64" t="str">
        <f t="shared" si="11"/>
        <v>10000</v>
      </c>
      <c r="AG66" s="64" t="str">
        <f t="shared" si="12"/>
        <v>-1123972.08344064i</v>
      </c>
      <c r="AH66" s="64" t="str">
        <f t="shared" si="30"/>
        <v>9999.20849333782-88.9631392154225i</v>
      </c>
      <c r="AI66" s="64" t="str">
        <f t="shared" si="31"/>
        <v>5.36364336574229-398.483846385264i</v>
      </c>
      <c r="AJ66" s="161">
        <f t="shared" si="32"/>
        <v>398.51994241210758</v>
      </c>
      <c r="AK66" s="161">
        <f t="shared" si="33"/>
        <v>52.00900117777087</v>
      </c>
      <c r="AL66" s="161">
        <f t="shared" si="34"/>
        <v>-89.22883807396569</v>
      </c>
      <c r="AN66" s="64" t="str">
        <f t="shared" si="35"/>
        <v>-28.9758594944263-904.462130583664i</v>
      </c>
      <c r="AO66" s="161">
        <f t="shared" si="36"/>
        <v>904.92615504989226</v>
      </c>
      <c r="AP66" s="161">
        <f t="shared" si="37"/>
        <v>59.132262815864507</v>
      </c>
      <c r="AQ66" s="161">
        <f t="shared" si="38"/>
        <v>-91.83493235892027</v>
      </c>
      <c r="AR66" s="64">
        <f t="shared" si="39"/>
        <v>88.16506764107973</v>
      </c>
      <c r="AT66" s="135" t="str">
        <f t="shared" si="13"/>
        <v>-13717820.7558689i</v>
      </c>
      <c r="AU66" s="135" t="str">
        <f t="shared" si="14"/>
        <v>27456.1383070198-2455388.46335587i</v>
      </c>
      <c r="AV66" s="135" t="str">
        <f t="shared" si="40"/>
        <v>19752.2257516158-2082649.19408498i</v>
      </c>
      <c r="AW66" s="135" t="str">
        <f t="shared" si="15"/>
        <v>10000</v>
      </c>
      <c r="AX66" s="135" t="str">
        <f t="shared" si="16"/>
        <v>1789.92604368691-1054367.08060603i</v>
      </c>
      <c r="AY66" s="135" t="str">
        <f t="shared" si="41"/>
        <v>9998.93959173147-94.8317713101086i</v>
      </c>
      <c r="AZ66" s="135" t="str">
        <f t="shared" si="42"/>
        <v>3.9505087560465-208.249538987513i</v>
      </c>
      <c r="BA66" s="182">
        <f t="shared" si="43"/>
        <v>208.2870063348727</v>
      </c>
      <c r="BB66" s="182">
        <f t="shared" si="44"/>
        <v>46.373243559965175</v>
      </c>
      <c r="BC66" s="182">
        <f t="shared" si="45"/>
        <v>-88.913225286338715</v>
      </c>
      <c r="BE66" s="135" t="str">
        <f t="shared" si="46"/>
        <v>-12.5400960313218-472.794649566104i</v>
      </c>
      <c r="BF66" s="161">
        <f t="shared" si="47"/>
        <v>472.96092298075729</v>
      </c>
      <c r="BG66" s="161">
        <f t="shared" si="48"/>
        <v>53.496505198058806</v>
      </c>
      <c r="BH66" s="161">
        <f t="shared" si="49"/>
        <v>-91.519319571293281</v>
      </c>
      <c r="BI66" s="64">
        <f t="shared" si="50"/>
        <v>88.480680428706719</v>
      </c>
      <c r="BS66" s="64">
        <v>436.51583224016503</v>
      </c>
      <c r="BT66" s="64">
        <v>10.891421749965501</v>
      </c>
      <c r="BU66" s="64">
        <v>-2.4150638224958501</v>
      </c>
      <c r="BV66" s="186">
        <v>363.0780547701018</v>
      </c>
      <c r="BW66" s="64">
        <v>10.642153395507103</v>
      </c>
      <c r="BX66" s="64">
        <v>-1.9633319410342072</v>
      </c>
      <c r="BZ66" s="64">
        <v>436.51583224016503</v>
      </c>
      <c r="CA66" s="64">
        <v>6.7715734765015396</v>
      </c>
      <c r="CB66" s="64">
        <v>-3.6617610957339601</v>
      </c>
      <c r="CC66" s="186">
        <v>363.0780547701018</v>
      </c>
      <c r="CD66" s="64">
        <v>7.0479986552311233</v>
      </c>
      <c r="CE66" s="64">
        <v>-3.1280589683160822</v>
      </c>
      <c r="CG66" s="64">
        <v>436.51583224016503</v>
      </c>
      <c r="CH66" s="64">
        <v>10.451020141279001</v>
      </c>
      <c r="CI66" s="64">
        <v>-3.4189122059863499</v>
      </c>
      <c r="CJ66" s="64">
        <v>363.0780547701018</v>
      </c>
      <c r="CK66" s="64">
        <v>11.051955676915385</v>
      </c>
      <c r="CL66" s="64">
        <v>-3.0033709133712025</v>
      </c>
      <c r="CN66" s="64">
        <v>436.51583224016503</v>
      </c>
      <c r="CO66" s="64">
        <v>7.2838087450349498</v>
      </c>
      <c r="CP66" s="64">
        <v>-3.9399527025145802</v>
      </c>
      <c r="CQ66" s="186">
        <v>363.0780547701018</v>
      </c>
      <c r="CR66" s="64">
        <v>7.107898268329552</v>
      </c>
      <c r="CS66" s="64">
        <v>-3.2361500413204416</v>
      </c>
      <c r="CU66" s="64">
        <v>436.51583224016503</v>
      </c>
      <c r="CV66" s="64">
        <v>4.7403303431814603</v>
      </c>
      <c r="CW66" s="64">
        <v>-2.9731230765698502</v>
      </c>
      <c r="CX66" s="139">
        <v>363.0780547701018</v>
      </c>
      <c r="CY66" s="64">
        <v>5.0020391080244249</v>
      </c>
      <c r="CZ66" s="64">
        <v>-2.5338258666195617</v>
      </c>
    </row>
    <row r="67" spans="2:104">
      <c r="B67" s="135">
        <f t="shared" si="51"/>
        <v>2.6000000000000005</v>
      </c>
      <c r="C67" s="139">
        <f t="shared" si="17"/>
        <v>398.10717055349795</v>
      </c>
      <c r="D67" s="139">
        <f t="shared" si="18"/>
        <v>2501.381124704576</v>
      </c>
      <c r="E67" s="32" t="str">
        <f t="shared" si="19"/>
        <v>2501.38112470458i</v>
      </c>
      <c r="F67"/>
      <c r="G67" s="153" t="str">
        <f t="shared" si="0"/>
        <v>0.04+0.000176557488108324i</v>
      </c>
      <c r="H67" s="153" t="str">
        <f t="shared" si="1"/>
        <v>1+0.080783394458994i</v>
      </c>
      <c r="I67" t="str">
        <f t="shared" si="20"/>
        <v>0.0397548246441793-0.00303497219277055i</v>
      </c>
      <c r="J67"/>
      <c r="K67" t="str">
        <f t="shared" si="21"/>
        <v>0.04+0.000176557488108324i</v>
      </c>
      <c r="L67" t="str">
        <f t="shared" si="2"/>
        <v>5.43580907071529+0.439123108363371i</v>
      </c>
      <c r="M67" t="str">
        <f t="shared" si="22"/>
        <v>0.00731350643979629-0.000558329432341741i</v>
      </c>
      <c r="N67" s="153" t="str">
        <f t="shared" si="3"/>
        <v>0.0011+0.000550303847435008i</v>
      </c>
      <c r="O67" s="135" t="str">
        <f t="shared" si="4"/>
        <v>0.000242+0.000121066846435702i</v>
      </c>
      <c r="Q67" s="135" t="str">
        <f t="shared" si="5"/>
        <v>-0.00250138112470458i</v>
      </c>
      <c r="R67" s="135" t="str">
        <f t="shared" si="6"/>
        <v>-0.0000025358291079378</v>
      </c>
      <c r="S67" s="64" t="str">
        <f t="shared" si="23"/>
        <v>0.999997464170892-0.00250138112470458i</v>
      </c>
      <c r="T67" s="135" t="str">
        <f t="shared" si="7"/>
        <v>0.00999997464170892-0.0000250138112470458i</v>
      </c>
      <c r="U67" s="64" t="str">
        <f t="shared" si="24"/>
        <v>0.0175554810815052-0.000462276397153085i</v>
      </c>
      <c r="W67" s="64" t="str">
        <f t="shared" si="25"/>
        <v>2.26750496863853-0.113170249001873i</v>
      </c>
      <c r="X67" s="172">
        <f t="shared" si="26"/>
        <v>2.2703273526211074</v>
      </c>
      <c r="Y67" s="188">
        <f t="shared" si="27"/>
        <v>7.1217696300925306</v>
      </c>
      <c r="Z67" s="161">
        <f t="shared" si="28"/>
        <v>-2.8572381529071467</v>
      </c>
      <c r="AA67" s="161">
        <f t="shared" si="8"/>
        <v>-2.8572381529071467</v>
      </c>
      <c r="AB67" s="199"/>
      <c r="AC67" s="64" t="str">
        <f t="shared" si="9"/>
        <v>-39977914.2060211i</v>
      </c>
      <c r="AD67" s="64" t="str">
        <f t="shared" si="10"/>
        <v>22000-3997791.42060211i</v>
      </c>
      <c r="AE67" s="64" t="str">
        <f t="shared" si="29"/>
        <v>18181.8136313411-3634364.93284009i</v>
      </c>
      <c r="AF67" s="64" t="str">
        <f t="shared" si="11"/>
        <v>10000</v>
      </c>
      <c r="AG67" s="64" t="str">
        <f t="shared" si="12"/>
        <v>-1025074.72323131i</v>
      </c>
      <c r="AH67" s="64" t="str">
        <f t="shared" si="30"/>
        <v>9999.04841492456-97.544580783388i</v>
      </c>
      <c r="AI67" s="64" t="str">
        <f t="shared" si="31"/>
        <v>5.36364478201893-363.418756222291i</v>
      </c>
      <c r="AJ67" s="161">
        <f t="shared" si="32"/>
        <v>363.45833469533289</v>
      </c>
      <c r="AK67" s="161">
        <f t="shared" si="33"/>
        <v>51.209092647833387</v>
      </c>
      <c r="AL67" s="161">
        <f t="shared" si="34"/>
        <v>-89.154441280144766</v>
      </c>
      <c r="AN67" s="64" t="str">
        <f t="shared" si="35"/>
        <v>-28.9660999403876-824.660840446018i</v>
      </c>
      <c r="AO67" s="161">
        <f t="shared" si="36"/>
        <v>825.16939879693143</v>
      </c>
      <c r="AP67" s="161">
        <f t="shared" si="37"/>
        <v>58.33086227792591</v>
      </c>
      <c r="AQ67" s="161">
        <f t="shared" si="38"/>
        <v>-92.01167943305191</v>
      </c>
      <c r="AR67" s="64">
        <f t="shared" si="39"/>
        <v>87.98832056694809</v>
      </c>
      <c r="AT67" s="135" t="str">
        <f t="shared" si="13"/>
        <v>-12510801.2216939i</v>
      </c>
      <c r="AU67" s="135" t="str">
        <f t="shared" si="14"/>
        <v>27456.1383070198-2239340.89341i</v>
      </c>
      <c r="AV67" s="135" t="str">
        <f t="shared" si="40"/>
        <v>19752.2142377661-1899404.82511694i</v>
      </c>
      <c r="AW67" s="135" t="str">
        <f t="shared" si="15"/>
        <v>10000</v>
      </c>
      <c r="AX67" s="135" t="str">
        <f t="shared" si="16"/>
        <v>1789.92604368691-961594.206172741i</v>
      </c>
      <c r="AY67" s="135" t="str">
        <f t="shared" si="41"/>
        <v>9998.72514109041-103.97834020412i</v>
      </c>
      <c r="AZ67" s="135" t="str">
        <f t="shared" si="42"/>
        <v>3.95051931836308-189.923618249214i</v>
      </c>
      <c r="BA67" s="182">
        <f t="shared" si="43"/>
        <v>189.96470033076653</v>
      </c>
      <c r="BB67" s="182">
        <f t="shared" si="44"/>
        <v>45.573458137388954</v>
      </c>
      <c r="BC67" s="182">
        <f t="shared" si="45"/>
        <v>-88.808387023227326</v>
      </c>
      <c r="BE67" s="135" t="str">
        <f t="shared" si="46"/>
        <v>-12.5358809855094-431.099829296846i</v>
      </c>
      <c r="BF67" s="161">
        <f t="shared" si="47"/>
        <v>431.28205519341122</v>
      </c>
      <c r="BG67" s="161">
        <f t="shared" si="48"/>
        <v>52.695227767481484</v>
      </c>
      <c r="BH67" s="161">
        <f t="shared" si="49"/>
        <v>-91.665625176134455</v>
      </c>
      <c r="BI67" s="64">
        <f t="shared" si="50"/>
        <v>88.334374823865545</v>
      </c>
      <c r="BS67" s="64">
        <v>478.63009232263801</v>
      </c>
      <c r="BT67" s="64">
        <v>10.8907729953466</v>
      </c>
      <c r="BU67" s="64">
        <v>-2.6480646189558601</v>
      </c>
      <c r="BV67" s="186">
        <v>398.10717055349795</v>
      </c>
      <c r="BW67" s="64">
        <v>10.641777780363885</v>
      </c>
      <c r="BX67" s="64">
        <v>-2.1527674091772444</v>
      </c>
      <c r="BZ67" s="64">
        <v>478.63009232263801</v>
      </c>
      <c r="CA67" s="64">
        <v>6.7683677370922197</v>
      </c>
      <c r="CB67" s="64">
        <v>-4.0141118275196597</v>
      </c>
      <c r="CC67" s="186">
        <v>398.10717055349795</v>
      </c>
      <c r="CD67" s="64">
        <v>7.0456223179622501</v>
      </c>
      <c r="CE67" s="64">
        <v>-3.4292541283778606</v>
      </c>
      <c r="CG67" s="64">
        <v>478.63009232263801</v>
      </c>
      <c r="CH67" s="64">
        <v>10.452771232369001</v>
      </c>
      <c r="CI67" s="64">
        <v>-3.7499923724454001</v>
      </c>
      <c r="CJ67" s="64">
        <v>398.10717055349795</v>
      </c>
      <c r="CK67" s="64">
        <v>11.052900779475801</v>
      </c>
      <c r="CL67" s="64">
        <v>-3.2938017029197297</v>
      </c>
      <c r="CN67" s="64">
        <v>478.63009232263801</v>
      </c>
      <c r="CO67" s="64">
        <v>7.28028574784559</v>
      </c>
      <c r="CP67" s="64">
        <v>-4.3190130531282396</v>
      </c>
      <c r="CQ67" s="186">
        <v>398.10717055349795</v>
      </c>
      <c r="CR67" s="64">
        <v>7.1055748756376849</v>
      </c>
      <c r="CS67" s="64">
        <v>-3.5478045702816741</v>
      </c>
      <c r="CU67" s="64">
        <v>478.63009232263801</v>
      </c>
      <c r="CV67" s="64">
        <v>4.7383520384416498</v>
      </c>
      <c r="CW67" s="64">
        <v>-3.2595183555081801</v>
      </c>
      <c r="CX67" s="139">
        <v>398.10717055349795</v>
      </c>
      <c r="CY67" s="64">
        <v>5.000574327965543</v>
      </c>
      <c r="CZ67" s="64">
        <v>-2.7779997635818297</v>
      </c>
    </row>
    <row r="68" spans="2:104">
      <c r="B68" s="135">
        <f t="shared" si="51"/>
        <v>2.6400000000000006</v>
      </c>
      <c r="C68" s="139">
        <f t="shared" si="17"/>
        <v>436.51583224016696</v>
      </c>
      <c r="D68" s="139">
        <f t="shared" si="18"/>
        <v>2742.7098634826862</v>
      </c>
      <c r="E68" s="32" t="str">
        <f t="shared" si="19"/>
        <v>2742.70986348269i</v>
      </c>
      <c r="F68"/>
      <c r="G68" s="153" t="str">
        <f t="shared" si="0"/>
        <v>0.04+0.000193590872663958i</v>
      </c>
      <c r="H68" s="153" t="str">
        <f t="shared" si="1"/>
        <v>1+0.0885770590587813i</v>
      </c>
      <c r="I68" t="str">
        <f t="shared" si="20"/>
        <v>0.0397056215569706-0.00332341631295345i</v>
      </c>
      <c r="J68"/>
      <c r="K68" t="str">
        <f t="shared" si="21"/>
        <v>0.04+0.000193590872663958i</v>
      </c>
      <c r="L68" t="str">
        <f t="shared" si="2"/>
        <v>5.43580907071529+0.481487981089007i</v>
      </c>
      <c r="M68" t="str">
        <f t="shared" si="22"/>
        <v>0.00730445478132767-0.000611393128367572i</v>
      </c>
      <c r="N68" s="153" t="str">
        <f t="shared" si="3"/>
        <v>0.0011+0.000603396169966192i</v>
      </c>
      <c r="O68" s="135" t="str">
        <f t="shared" si="4"/>
        <v>0.000242+0.000132747157392562i</v>
      </c>
      <c r="Q68" s="135" t="str">
        <f t="shared" si="5"/>
        <v>-0.00274270986348269i</v>
      </c>
      <c r="R68" s="135" t="str">
        <f t="shared" si="6"/>
        <v>-3.04873714874122E-06</v>
      </c>
      <c r="S68" s="64" t="str">
        <f t="shared" si="23"/>
        <v>0.999996951262851-0.00274270986348269i</v>
      </c>
      <c r="T68" s="135" t="str">
        <f t="shared" si="7"/>
        <v>0.00999996951262851-0.0000274270986348269i</v>
      </c>
      <c r="U68" s="64" t="str">
        <f t="shared" si="24"/>
        <v>0.0175464242939562-0.000506073069609837i</v>
      </c>
      <c r="W68" s="64" t="str">
        <f t="shared" si="25"/>
        <v>2.26646711813814-0.124037713031776i</v>
      </c>
      <c r="X68" s="172">
        <f t="shared" si="26"/>
        <v>2.2698587074651937</v>
      </c>
      <c r="Y68" s="188">
        <f t="shared" si="27"/>
        <v>7.1199764876687324</v>
      </c>
      <c r="Z68" s="161">
        <f t="shared" si="28"/>
        <v>-3.1325206254134788</v>
      </c>
      <c r="AA68" s="161">
        <f t="shared" si="8"/>
        <v>-3.1325206254134788</v>
      </c>
      <c r="AB68" s="199"/>
      <c r="AC68" s="64" t="str">
        <f t="shared" si="9"/>
        <v>-36460291.0907318i</v>
      </c>
      <c r="AD68" s="64" t="str">
        <f t="shared" si="10"/>
        <v>22000-3646029.10907318i</v>
      </c>
      <c r="AE68" s="64" t="str">
        <f t="shared" si="29"/>
        <v>18181.8127109417-3314581.89082667i</v>
      </c>
      <c r="AF68" s="64" t="str">
        <f t="shared" si="11"/>
        <v>10000</v>
      </c>
      <c r="AG68" s="64" t="str">
        <f t="shared" si="12"/>
        <v>-934879.258736713i</v>
      </c>
      <c r="AH68" s="64" t="str">
        <f t="shared" si="30"/>
        <v>9998.85596512674-106.953447428474i</v>
      </c>
      <c r="AI68" s="64" t="str">
        <f t="shared" si="31"/>
        <v>5.36364648475783-331.438740782214i</v>
      </c>
      <c r="AJ68" s="161">
        <f t="shared" si="32"/>
        <v>331.48213767096576</v>
      </c>
      <c r="AK68" s="161">
        <f t="shared" si="33"/>
        <v>50.409202617413641</v>
      </c>
      <c r="AL68" s="161">
        <f t="shared" si="34"/>
        <v>-89.072867937312765</v>
      </c>
      <c r="AN68" s="64" t="str">
        <f t="shared" si="35"/>
        <v>-28.9543750257366-751.860302103479i</v>
      </c>
      <c r="AO68" s="161">
        <f t="shared" si="36"/>
        <v>752.41761656161771</v>
      </c>
      <c r="AP68" s="161">
        <f t="shared" si="37"/>
        <v>57.529179105082378</v>
      </c>
      <c r="AQ68" s="161">
        <f t="shared" si="38"/>
        <v>-92.205388562726242</v>
      </c>
      <c r="AR68" s="64">
        <f t="shared" si="39"/>
        <v>87.794611437273758</v>
      </c>
      <c r="AT68" s="135" t="str">
        <f t="shared" si="13"/>
        <v>-11409986.323212i</v>
      </c>
      <c r="AU68" s="135" t="str">
        <f t="shared" si="14"/>
        <v>27456.1383070198-2042303.16780286i</v>
      </c>
      <c r="AV68" s="135" t="str">
        <f t="shared" si="40"/>
        <v>19752.2003950917-1732284.57112775i</v>
      </c>
      <c r="AW68" s="135" t="str">
        <f t="shared" si="15"/>
        <v>10000</v>
      </c>
      <c r="AX68" s="135" t="str">
        <f t="shared" si="16"/>
        <v>1789.92604368691-876984.339091381i</v>
      </c>
      <c r="AY68" s="135" t="str">
        <f t="shared" si="41"/>
        <v>9998.46732906909-114.00651695407i</v>
      </c>
      <c r="AZ68" s="135" t="str">
        <f t="shared" si="42"/>
        <v>3.95053201702445-173.209965861199i</v>
      </c>
      <c r="BA68" s="182">
        <f t="shared" si="43"/>
        <v>173.25501140473617</v>
      </c>
      <c r="BB68" s="182">
        <f t="shared" si="44"/>
        <v>44.773716108845328</v>
      </c>
      <c r="BC68" s="182">
        <f t="shared" si="45"/>
        <v>-88.693437908791111</v>
      </c>
      <c r="BE68" s="135" t="str">
        <f t="shared" si="46"/>
        <v>-12.5308171239973-393.064707114888i</v>
      </c>
      <c r="BF68" s="161">
        <f t="shared" si="47"/>
        <v>393.26439624902201</v>
      </c>
      <c r="BG68" s="161">
        <f t="shared" si="48"/>
        <v>51.893692596514065</v>
      </c>
      <c r="BH68" s="161">
        <f t="shared" si="49"/>
        <v>-91.825958534204588</v>
      </c>
      <c r="BI68" s="64">
        <f t="shared" si="50"/>
        <v>88.174041465795412</v>
      </c>
      <c r="BS68" s="64">
        <v>524.80746024977202</v>
      </c>
      <c r="BT68" s="64">
        <v>10.889992865654699</v>
      </c>
      <c r="BU68" s="64">
        <v>-2.9035447959826199</v>
      </c>
      <c r="BV68" s="186">
        <v>436.51583224016696</v>
      </c>
      <c r="BW68" s="64">
        <v>10.64132608834136</v>
      </c>
      <c r="BX68" s="64">
        <v>-2.3604845744448597</v>
      </c>
      <c r="BZ68" s="64">
        <v>524.80746024977202</v>
      </c>
      <c r="CA68" s="64">
        <v>6.7645166947132198</v>
      </c>
      <c r="CB68" s="64">
        <v>-4.4001621318050601</v>
      </c>
      <c r="CC68" s="186">
        <v>436.51583224016696</v>
      </c>
      <c r="CD68" s="64">
        <v>7.0427670440385937</v>
      </c>
      <c r="CE68" s="64">
        <v>-3.7593194705012913</v>
      </c>
      <c r="CG68" s="64">
        <v>524.80746024977202</v>
      </c>
      <c r="CH68" s="64">
        <v>10.4548736931636</v>
      </c>
      <c r="CI68" s="64">
        <v>-4.1134060517336604</v>
      </c>
      <c r="CJ68" s="64">
        <v>436.51583224016696</v>
      </c>
      <c r="CK68" s="64">
        <v>11.054035565763819</v>
      </c>
      <c r="CL68" s="64">
        <v>-3.6124662375934715</v>
      </c>
      <c r="CN68" s="64">
        <v>524.80746024977202</v>
      </c>
      <c r="CO68" s="64">
        <v>7.2760538600471003</v>
      </c>
      <c r="CP68" s="64">
        <v>-4.7343088452779902</v>
      </c>
      <c r="CQ68" s="186">
        <v>436.51583224016696</v>
      </c>
      <c r="CR68" s="64">
        <v>7.1027831314840517</v>
      </c>
      <c r="CS68" s="64">
        <v>-3.8893481774283822</v>
      </c>
      <c r="CU68" s="64">
        <v>524.80746024977202</v>
      </c>
      <c r="CV68" s="64">
        <v>4.7359747602325504</v>
      </c>
      <c r="CW68" s="64">
        <v>-3.57340285496312</v>
      </c>
      <c r="CX68" s="139">
        <v>436.51583224016696</v>
      </c>
      <c r="CY68" s="64">
        <v>4.9988139175290627</v>
      </c>
      <c r="CZ68" s="64">
        <v>-3.0456405637870141</v>
      </c>
    </row>
    <row r="69" spans="2:104">
      <c r="B69" s="135">
        <f t="shared" si="51"/>
        <v>2.6800000000000006</v>
      </c>
      <c r="C69" s="139">
        <f t="shared" si="17"/>
        <v>478.63009232263926</v>
      </c>
      <c r="D69" s="139">
        <f t="shared" si="18"/>
        <v>3007.321563655616</v>
      </c>
      <c r="E69" s="32" t="str">
        <f t="shared" si="19"/>
        <v>3007.32156365562i</v>
      </c>
      <c r="F69"/>
      <c r="G69" s="153" t="str">
        <f t="shared" si="0"/>
        <v>0.04+0.000212267428130749i</v>
      </c>
      <c r="H69" s="153" t="str">
        <f t="shared" si="1"/>
        <v>1+0.0971225877567967i</v>
      </c>
      <c r="I69" t="str">
        <f t="shared" si="20"/>
        <v>0.0396466372786499-0.00363831658022681i</v>
      </c>
      <c r="J69"/>
      <c r="K69" t="str">
        <f t="shared" si="21"/>
        <v>0.04+0.000212267428130749i</v>
      </c>
      <c r="L69" t="str">
        <f t="shared" si="2"/>
        <v>5.43580907071529+0.527939843499737i</v>
      </c>
      <c r="M69" t="str">
        <f t="shared" si="22"/>
        <v>0.00729360372354522-0.000669323836230335i</v>
      </c>
      <c r="N69" s="153" t="str">
        <f t="shared" si="3"/>
        <v>0.0011+0.000661610744004236i</v>
      </c>
      <c r="O69" s="135" t="str">
        <f t="shared" si="4"/>
        <v>0.000242+0.000145554363680932i</v>
      </c>
      <c r="Q69" s="135" t="str">
        <f t="shared" si="5"/>
        <v>-0.00300732156365562i</v>
      </c>
      <c r="R69" s="135" t="str">
        <f t="shared" si="6"/>
        <v>-3.66538824442846E-06</v>
      </c>
      <c r="S69" s="64" t="str">
        <f t="shared" si="23"/>
        <v>0.999996334611756-0.00300732156365562i</v>
      </c>
      <c r="T69" s="135" t="str">
        <f t="shared" si="7"/>
        <v>0.00999996334611756-0.0000300732156365562i</v>
      </c>
      <c r="U69" s="64" t="str">
        <f t="shared" si="24"/>
        <v>0.0175355670696628-0.000553842688185959i</v>
      </c>
      <c r="W69" s="64" t="str">
        <f t="shared" si="25"/>
        <v>2.26522045737315-0.135937479712612i</v>
      </c>
      <c r="X69" s="172">
        <f t="shared" si="26"/>
        <v>2.2692956437829865</v>
      </c>
      <c r="Y69" s="188">
        <f t="shared" si="27"/>
        <v>7.1178215889146976</v>
      </c>
      <c r="Z69" s="161">
        <f t="shared" si="28"/>
        <v>-3.4342415909915611</v>
      </c>
      <c r="AA69" s="161">
        <f t="shared" si="8"/>
        <v>-3.4342415909915611</v>
      </c>
      <c r="AB69" s="199"/>
      <c r="AC69" s="64" t="str">
        <f t="shared" si="9"/>
        <v>-33252180.6808191i</v>
      </c>
      <c r="AD69" s="64" t="str">
        <f t="shared" si="10"/>
        <v>22000-3325218.06808191i</v>
      </c>
      <c r="AE69" s="64" t="str">
        <f t="shared" si="29"/>
        <v>18181.8116043784-3022936.45214892i</v>
      </c>
      <c r="AF69" s="64" t="str">
        <f t="shared" si="11"/>
        <v>10000</v>
      </c>
      <c r="AG69" s="64" t="str">
        <f t="shared" si="12"/>
        <v>-852620.0174569i</v>
      </c>
      <c r="AH69" s="64" t="str">
        <f t="shared" si="30"/>
        <v>9998.62459938635-117.269409522065i</v>
      </c>
      <c r="AI69" s="64" t="str">
        <f t="shared" si="31"/>
        <v>5.36364853189998-302.272320578791i</v>
      </c>
      <c r="AJ69" s="161">
        <f t="shared" si="32"/>
        <v>302.31990426311847</v>
      </c>
      <c r="AK69" s="161">
        <f t="shared" si="33"/>
        <v>49.609334827583368</v>
      </c>
      <c r="AL69" s="161">
        <f t="shared" si="34"/>
        <v>-88.983426021189501</v>
      </c>
      <c r="AN69" s="64" t="str">
        <f t="shared" si="35"/>
        <v>-28.9402910657443-685.442565136223i</v>
      </c>
      <c r="AO69" s="161">
        <f t="shared" si="36"/>
        <v>686.05324177318437</v>
      </c>
      <c r="AP69" s="161">
        <f t="shared" si="37"/>
        <v>56.727156416498076</v>
      </c>
      <c r="AQ69" s="161">
        <f t="shared" si="38"/>
        <v>-92.417667612181035</v>
      </c>
      <c r="AR69" s="64">
        <f t="shared" si="39"/>
        <v>87.582332387818965</v>
      </c>
      <c r="AT69" s="135" t="str">
        <f t="shared" si="13"/>
        <v>-10406031.203672i</v>
      </c>
      <c r="AU69" s="135" t="str">
        <f t="shared" si="14"/>
        <v>27456.1383070198-1862602.62628712i</v>
      </c>
      <c r="AV69" s="135" t="str">
        <f t="shared" si="40"/>
        <v>19752.1837525624-1579869.74234594i</v>
      </c>
      <c r="AW69" s="135" t="str">
        <f t="shared" si="15"/>
        <v>10000</v>
      </c>
      <c r="AX69" s="135" t="str">
        <f t="shared" si="16"/>
        <v>1789.92604368691-799819.223196719i</v>
      </c>
      <c r="AY69" s="135" t="str">
        <f t="shared" si="41"/>
        <v>9998.15739159592-125.001091351112i</v>
      </c>
      <c r="AZ69" s="135" t="str">
        <f t="shared" si="42"/>
        <v>3.95054728412116-157.96669903912i</v>
      </c>
      <c r="BA69" s="182">
        <f t="shared" si="43"/>
        <v>158.01609041221084</v>
      </c>
      <c r="BB69" s="182">
        <f t="shared" si="44"/>
        <v>43.974026248131224</v>
      </c>
      <c r="BC69" s="182">
        <f t="shared" si="45"/>
        <v>-88.567403661141356</v>
      </c>
      <c r="BE69" s="135" t="str">
        <f t="shared" si="46"/>
        <v>-12.5247344200875-358.366425688411i</v>
      </c>
      <c r="BF69" s="161">
        <f t="shared" si="47"/>
        <v>358.58522562004856</v>
      </c>
      <c r="BG69" s="161">
        <f t="shared" si="48"/>
        <v>51.091847837045918</v>
      </c>
      <c r="BH69" s="161">
        <f t="shared" si="49"/>
        <v>-92.001645252132917</v>
      </c>
      <c r="BI69" s="64">
        <f t="shared" si="50"/>
        <v>87.998354747867083</v>
      </c>
      <c r="BS69" s="64">
        <v>575.43993733715604</v>
      </c>
      <c r="BT69" s="64">
        <v>10.889054719498199</v>
      </c>
      <c r="BU69" s="64">
        <v>-3.1836730570629101</v>
      </c>
      <c r="BV69" s="186">
        <v>478.63009232263926</v>
      </c>
      <c r="BW69" s="64">
        <v>10.64078288584918</v>
      </c>
      <c r="BX69" s="64">
        <v>-2.588248896262908</v>
      </c>
      <c r="BZ69" s="64">
        <v>575.43993733715604</v>
      </c>
      <c r="CA69" s="64">
        <v>6.75989120221017</v>
      </c>
      <c r="CB69" s="64">
        <v>-4.8230702188869703</v>
      </c>
      <c r="CC69" s="186">
        <v>478.63009232263926</v>
      </c>
      <c r="CD69" s="64">
        <v>7.039336720858719</v>
      </c>
      <c r="CE69" s="64">
        <v>-4.120980648819395</v>
      </c>
      <c r="CG69" s="64">
        <v>575.43993733715604</v>
      </c>
      <c r="CH69" s="64">
        <v>10.4573973333307</v>
      </c>
      <c r="CI69" s="64">
        <v>-4.5123973984171704</v>
      </c>
      <c r="CJ69" s="64">
        <v>478.63009232263926</v>
      </c>
      <c r="CK69" s="64">
        <v>11.055397742380746</v>
      </c>
      <c r="CL69" s="64">
        <v>-3.9621563851026189</v>
      </c>
      <c r="CN69" s="64">
        <v>575.43993733715604</v>
      </c>
      <c r="CO69" s="64">
        <v>7.2709713300198597</v>
      </c>
      <c r="CP69" s="64">
        <v>-5.1892300535313103</v>
      </c>
      <c r="CQ69" s="186">
        <v>478.63009232263926</v>
      </c>
      <c r="CR69" s="64">
        <v>7.0994290095648891</v>
      </c>
      <c r="CS69" s="64">
        <v>-4.2636079059026271</v>
      </c>
      <c r="CU69" s="64">
        <v>575.43993733715604</v>
      </c>
      <c r="CV69" s="64">
        <v>4.7331183284902201</v>
      </c>
      <c r="CW69" s="64">
        <v>-3.9173837988831002</v>
      </c>
      <c r="CX69" s="139">
        <v>478.63009232263926</v>
      </c>
      <c r="CY69" s="64">
        <v>4.9966983666591789</v>
      </c>
      <c r="CZ69" s="64">
        <v>-3.3389835891134303</v>
      </c>
    </row>
    <row r="70" spans="2:104">
      <c r="B70" s="135">
        <f t="shared" si="51"/>
        <v>2.7200000000000006</v>
      </c>
      <c r="C70" s="139">
        <f t="shared" si="17"/>
        <v>524.80746024977384</v>
      </c>
      <c r="D70" s="139">
        <f t="shared" si="18"/>
        <v>3297.4625233396137</v>
      </c>
      <c r="E70" s="32" t="str">
        <f t="shared" si="19"/>
        <v>3297.46252333961i</v>
      </c>
      <c r="F70"/>
      <c r="G70" s="153" t="str">
        <f t="shared" si="0"/>
        <v>0.04+0.000232745627611974i</v>
      </c>
      <c r="H70" s="153" t="str">
        <f t="shared" si="1"/>
        <v>1+0.106492501667859i</v>
      </c>
      <c r="I70" t="str">
        <f t="shared" si="20"/>
        <v>0.0395759683435171-0.00398179824721716i</v>
      </c>
      <c r="J70"/>
      <c r="K70" t="str">
        <f t="shared" si="21"/>
        <v>0.04+0.000232745627611974i</v>
      </c>
      <c r="L70" t="str">
        <f t="shared" si="2"/>
        <v>5.43580907071529+0.578872906529311i</v>
      </c>
      <c r="M70" t="str">
        <f t="shared" si="22"/>
        <v>0.00728060309489667-0.000732512528570692i</v>
      </c>
      <c r="N70" s="153" t="str">
        <f t="shared" si="3"/>
        <v>0.0011+0.000725441755134714i</v>
      </c>
      <c r="O70" s="135" t="str">
        <f t="shared" si="4"/>
        <v>0.000242+0.000159597186129637i</v>
      </c>
      <c r="Q70" s="135" t="str">
        <f t="shared" si="5"/>
        <v>-0.00329746252333961i</v>
      </c>
      <c r="R70" s="135" t="str">
        <f t="shared" si="6"/>
        <v>-4.40676592534107E-06</v>
      </c>
      <c r="S70" s="64" t="str">
        <f t="shared" si="23"/>
        <v>0.999995593234075-0.00329746252333961i</v>
      </c>
      <c r="T70" s="135" t="str">
        <f t="shared" si="7"/>
        <v>0.00999995593234075-0.0000329746252333961i</v>
      </c>
      <c r="U70" s="64" t="str">
        <f t="shared" si="24"/>
        <v>0.0175225590272374-0.000605889967674451i</v>
      </c>
      <c r="W70" s="64" t="str">
        <f t="shared" si="25"/>
        <v>2.2637232435295-0.148964032040855i</v>
      </c>
      <c r="X70" s="172">
        <f t="shared" si="26"/>
        <v>2.2686192289887672</v>
      </c>
      <c r="Y70" s="188">
        <f t="shared" si="27"/>
        <v>7.1152321774954093</v>
      </c>
      <c r="Z70" s="161">
        <f t="shared" si="28"/>
        <v>-3.7649136670364789</v>
      </c>
      <c r="AA70" s="161">
        <f t="shared" si="8"/>
        <v>-3.7649136670364789</v>
      </c>
      <c r="AB70" s="199"/>
      <c r="AC70" s="64" t="str">
        <f t="shared" si="9"/>
        <v>-30326349.2131282i</v>
      </c>
      <c r="AD70" s="64" t="str">
        <f t="shared" si="10"/>
        <v>22000-3032634.92131282i</v>
      </c>
      <c r="AE70" s="64" t="str">
        <f t="shared" si="29"/>
        <v>18181.8102739968-2756952.82832471i</v>
      </c>
      <c r="AF70" s="64" t="str">
        <f t="shared" si="11"/>
        <v>10000</v>
      </c>
      <c r="AG70" s="64" t="str">
        <f t="shared" si="12"/>
        <v>-777598.697772518i</v>
      </c>
      <c r="AH70" s="64" t="str">
        <f t="shared" si="30"/>
        <v>9998.34645075971-128.579773595308i</v>
      </c>
      <c r="AI70" s="64" t="str">
        <f t="shared" si="31"/>
        <v>5.36365099310586-275.671900835657i</v>
      </c>
      <c r="AJ70" s="161">
        <f t="shared" si="32"/>
        <v>275.72407523159842</v>
      </c>
      <c r="AK70" s="161">
        <f t="shared" si="33"/>
        <v>48.809493775778272</v>
      </c>
      <c r="AL70" s="161">
        <f t="shared" si="34"/>
        <v>-88.885356855580667</v>
      </c>
      <c r="AN70" s="64" t="str">
        <f t="shared" si="35"/>
        <v>-28.9233764455724-624.843880588029i</v>
      </c>
      <c r="AO70" s="161">
        <f t="shared" si="36"/>
        <v>625.51293896554967</v>
      </c>
      <c r="AP70" s="161">
        <f t="shared" si="37"/>
        <v>55.924725953273686</v>
      </c>
      <c r="AQ70" s="161">
        <f t="shared" si="38"/>
        <v>-92.650270522617149</v>
      </c>
      <c r="AR70" s="64">
        <f t="shared" si="39"/>
        <v>87.349729477382851</v>
      </c>
      <c r="AT70" s="135" t="str">
        <f t="shared" si="13"/>
        <v>-9490413.25242473i</v>
      </c>
      <c r="AU70" s="135" t="str">
        <f t="shared" si="14"/>
        <v>27456.1383070198-1698713.78458664i</v>
      </c>
      <c r="AV70" s="135" t="str">
        <f t="shared" si="40"/>
        <v>19752.1637438784-1440866.48387571i</v>
      </c>
      <c r="AW70" s="135" t="str">
        <f t="shared" si="15"/>
        <v>10000</v>
      </c>
      <c r="AX70" s="135" t="str">
        <f t="shared" si="16"/>
        <v>1789.92604368691-729443.801080631i</v>
      </c>
      <c r="AY70" s="135" t="str">
        <f t="shared" si="41"/>
        <v>9997.78479478577-137.054948916211i</v>
      </c>
      <c r="AZ70" s="135" t="str">
        <f t="shared" si="42"/>
        <v>3.95056563913299-144.064417155192i</v>
      </c>
      <c r="BA70" s="182">
        <f t="shared" si="43"/>
        <v>144.11857360914405</v>
      </c>
      <c r="BB70" s="182">
        <f t="shared" si="44"/>
        <v>43.174399102213037</v>
      </c>
      <c r="BC70" s="182">
        <f t="shared" si="45"/>
        <v>-88.429216381507686</v>
      </c>
      <c r="BE70" s="135" t="str">
        <f t="shared" si="46"/>
        <v>-12.5174291906588-326.710461866185i</v>
      </c>
      <c r="BF70" s="161">
        <f t="shared" si="47"/>
        <v>326.95016734413684</v>
      </c>
      <c r="BG70" s="161">
        <f t="shared" si="48"/>
        <v>50.289631279708438</v>
      </c>
      <c r="BH70" s="161">
        <f t="shared" si="49"/>
        <v>-92.194130048544167</v>
      </c>
      <c r="BI70" s="64">
        <f t="shared" si="50"/>
        <v>87.805869951455833</v>
      </c>
      <c r="BS70" s="64">
        <v>630.957344480193</v>
      </c>
      <c r="BT70" s="64">
        <v>10.8879264963424</v>
      </c>
      <c r="BU70" s="64">
        <v>-3.4908272997587302</v>
      </c>
      <c r="BV70" s="186">
        <v>524.80746024977384</v>
      </c>
      <c r="BW70" s="64">
        <v>10.640129597216211</v>
      </c>
      <c r="BX70" s="64">
        <v>-2.8379966870363398</v>
      </c>
      <c r="BZ70" s="64">
        <v>630.957344480193</v>
      </c>
      <c r="CA70" s="64">
        <v>6.7543365970237499</v>
      </c>
      <c r="CB70" s="64">
        <v>-5.28626978071041</v>
      </c>
      <c r="CC70" s="186">
        <v>524.80746024977384</v>
      </c>
      <c r="CD70" s="64">
        <v>7.0352161314530672</v>
      </c>
      <c r="CE70" s="64">
        <v>-4.5172074785718364</v>
      </c>
      <c r="CG70" s="64">
        <v>630.957344480193</v>
      </c>
      <c r="CH70" s="64">
        <v>10.4604255165426</v>
      </c>
      <c r="CI70" s="64">
        <v>-4.9505632802057304</v>
      </c>
      <c r="CJ70" s="64">
        <v>524.80746024977384</v>
      </c>
      <c r="CK70" s="64">
        <v>11.057032347465487</v>
      </c>
      <c r="CL70" s="64">
        <v>-4.3459549715922838</v>
      </c>
      <c r="CN70" s="64">
        <v>630.957344480193</v>
      </c>
      <c r="CO70" s="64">
        <v>7.2648684540734001</v>
      </c>
      <c r="CP70" s="64">
        <v>-5.6874604869167804</v>
      </c>
      <c r="CQ70" s="186">
        <v>524.80746024977384</v>
      </c>
      <c r="CR70" s="64">
        <v>7.0953997770796651</v>
      </c>
      <c r="CS70" s="64">
        <v>-4.6736657073067356</v>
      </c>
      <c r="CU70" s="64">
        <v>630.957344480193</v>
      </c>
      <c r="CV70" s="64">
        <v>4.7296865749911001</v>
      </c>
      <c r="CW70" s="64">
        <v>-4.29430578476717</v>
      </c>
      <c r="CX70" s="139">
        <v>524.80746024977384</v>
      </c>
      <c r="CY70" s="64">
        <v>4.9941562551302372</v>
      </c>
      <c r="CZ70" s="64">
        <v>-3.6604707364879538</v>
      </c>
    </row>
    <row r="71" spans="2:104">
      <c r="B71" s="135">
        <f t="shared" si="51"/>
        <v>2.7600000000000007</v>
      </c>
      <c r="C71" s="139">
        <f t="shared" si="17"/>
        <v>575.43993733715809</v>
      </c>
      <c r="D71" s="139">
        <f t="shared" si="18"/>
        <v>3615.5957594411734</v>
      </c>
      <c r="E71" s="32" t="str">
        <f t="shared" si="19"/>
        <v>3615.59575944117i</v>
      </c>
      <c r="F71"/>
      <c r="G71" s="153" t="str">
        <f t="shared" si="0"/>
        <v>0.04+0.000255199215251342i</v>
      </c>
      <c r="H71" s="153" t="str">
        <f t="shared" si="1"/>
        <v>1+0.116766313083255i</v>
      </c>
      <c r="I71" t="str">
        <f t="shared" si="20"/>
        <v>0.0394913587998955-0.00435606115046042i</v>
      </c>
      <c r="J71"/>
      <c r="K71" t="str">
        <f t="shared" si="21"/>
        <v>0.04+0.000255199215251342i</v>
      </c>
      <c r="L71" t="str">
        <f t="shared" si="2"/>
        <v>5.43580907071529+0.634719383811938i</v>
      </c>
      <c r="M71" t="str">
        <f t="shared" si="22"/>
        <v>0.0072650378786573-0.000801363898877192i</v>
      </c>
      <c r="N71" s="153" t="str">
        <f t="shared" si="3"/>
        <v>0.0011+0.000795431067077057i</v>
      </c>
      <c r="O71" s="135" t="str">
        <f t="shared" si="4"/>
        <v>0.000242+0.000174994834756953i</v>
      </c>
      <c r="Q71" s="135" t="str">
        <f t="shared" si="5"/>
        <v>-0.00361559575944117i</v>
      </c>
      <c r="R71" s="135" t="str">
        <f t="shared" si="6"/>
        <v>-5.29809794372148E-06</v>
      </c>
      <c r="S71" s="64" t="str">
        <f t="shared" si="23"/>
        <v>0.999994701902056-0.00361559575944117i</v>
      </c>
      <c r="T71" s="135" t="str">
        <f t="shared" si="7"/>
        <v>0.00999994701902056-0.0000361559575944117i</v>
      </c>
      <c r="U71" s="64" t="str">
        <f t="shared" si="24"/>
        <v>0.0175069848976779-0.000662525021714651i</v>
      </c>
      <c r="W71" s="64" t="str">
        <f t="shared" si="25"/>
        <v>2.26192550816928-0.163219361914378i</v>
      </c>
      <c r="X71" s="172">
        <f t="shared" si="26"/>
        <v>2.2678067740904631</v>
      </c>
      <c r="Y71" s="188">
        <f t="shared" si="27"/>
        <v>7.1121209645479322</v>
      </c>
      <c r="Z71" s="161">
        <f t="shared" si="28"/>
        <v>-4.1272798411689813</v>
      </c>
      <c r="AA71" s="161">
        <f t="shared" si="8"/>
        <v>-4.1272798411689813</v>
      </c>
      <c r="AB71" s="199"/>
      <c r="AC71" s="64" t="str">
        <f t="shared" si="9"/>
        <v>-27657959.2004655i</v>
      </c>
      <c r="AD71" s="64" t="str">
        <f t="shared" si="10"/>
        <v>22000-2765795.92004655i</v>
      </c>
      <c r="AE71" s="64" t="str">
        <f t="shared" si="29"/>
        <v>18181.8086745267-2514373.07492912i</v>
      </c>
      <c r="AF71" s="64" t="str">
        <f t="shared" si="11"/>
        <v>10000</v>
      </c>
      <c r="AG71" s="64" t="str">
        <f t="shared" si="12"/>
        <v>-709178.441037577i</v>
      </c>
      <c r="AH71" s="64" t="str">
        <f t="shared" si="30"/>
        <v>9998.01206304489-140.980203070149i</v>
      </c>
      <c r="AI71" s="64" t="str">
        <f t="shared" si="31"/>
        <v>5.36365395212573-251.411669645479i</v>
      </c>
      <c r="AJ71" s="161">
        <f t="shared" si="32"/>
        <v>251.46887763229392</v>
      </c>
      <c r="AK71" s="161">
        <f t="shared" si="33"/>
        <v>48.009684868640001</v>
      </c>
      <c r="AL71" s="161">
        <f t="shared" si="34"/>
        <v>-88.777828717975396</v>
      </c>
      <c r="AN71" s="64" t="str">
        <f t="shared" si="35"/>
        <v>-28.9030666060573-569.549920798133i</v>
      </c>
      <c r="AO71" s="161">
        <f t="shared" si="36"/>
        <v>570.2828241674423</v>
      </c>
      <c r="AP71" s="161">
        <f t="shared" si="37"/>
        <v>55.121805833187935</v>
      </c>
      <c r="AQ71" s="161">
        <f t="shared" si="38"/>
        <v>-92.905108559144381</v>
      </c>
      <c r="AR71" s="64">
        <f t="shared" si="39"/>
        <v>87.094891440855619</v>
      </c>
      <c r="AT71" s="135" t="str">
        <f t="shared" si="13"/>
        <v>-8655359.75617833i</v>
      </c>
      <c r="AU71" s="135" t="str">
        <f t="shared" si="14"/>
        <v>27456.1383070198-1549245.38450632i</v>
      </c>
      <c r="AV71" s="135" t="str">
        <f t="shared" si="40"/>
        <v>19752.1396882028-1314094.79211661i</v>
      </c>
      <c r="AW71" s="135" t="str">
        <f t="shared" si="15"/>
        <v>10000</v>
      </c>
      <c r="AX71" s="135" t="str">
        <f t="shared" si="16"/>
        <v>1789.92604368691-665260.653286512i</v>
      </c>
      <c r="AY71" s="135" t="str">
        <f t="shared" si="41"/>
        <v>9997.3368782366-150.269825064056i</v>
      </c>
      <c r="AZ71" s="135" t="str">
        <f t="shared" si="42"/>
        <v>3.95058770660169-131.38510325209i</v>
      </c>
      <c r="BA71" s="182">
        <f t="shared" si="43"/>
        <v>131.44448447839076</v>
      </c>
      <c r="BB71" s="182">
        <f t="shared" si="44"/>
        <v>42.374847349227295</v>
      </c>
      <c r="BC71" s="182">
        <f t="shared" si="45"/>
        <v>-88.277705643108135</v>
      </c>
      <c r="BE71" s="135" t="str">
        <f t="shared" si="46"/>
        <v>-12.5086576120385-297.828128844015i</v>
      </c>
      <c r="BF71" s="161">
        <f t="shared" si="47"/>
        <v>298.09069231692291</v>
      </c>
      <c r="BG71" s="161">
        <f t="shared" si="48"/>
        <v>49.486968313775215</v>
      </c>
      <c r="BH71" s="161">
        <f t="shared" si="49"/>
        <v>-92.404985484277134</v>
      </c>
      <c r="BI71" s="64">
        <f t="shared" si="50"/>
        <v>87.595014515722866</v>
      </c>
      <c r="BS71" s="64">
        <v>691.83097091893603</v>
      </c>
      <c r="BT71" s="64">
        <v>10.8865696069065</v>
      </c>
      <c r="BU71" s="64">
        <v>-3.8276147760053099</v>
      </c>
      <c r="BV71" s="186">
        <v>575.43993733715809</v>
      </c>
      <c r="BW71" s="64">
        <v>10.63934386010256</v>
      </c>
      <c r="BX71" s="64">
        <v>-3.1118517579138341</v>
      </c>
      <c r="BZ71" s="64">
        <v>691.83097091893603</v>
      </c>
      <c r="CA71" s="64">
        <v>6.7476678061956896</v>
      </c>
      <c r="CB71" s="64">
        <v>-5.7934875022460597</v>
      </c>
      <c r="CC71" s="186">
        <v>575.43993733715809</v>
      </c>
      <c r="CD71" s="64">
        <v>7.0302672381624767</v>
      </c>
      <c r="CE71" s="64">
        <v>-4.951231618355985</v>
      </c>
      <c r="CG71" s="64">
        <v>691.83097091893603</v>
      </c>
      <c r="CH71" s="64">
        <v>10.464057646182701</v>
      </c>
      <c r="CI71" s="64">
        <v>-5.4318999727574004</v>
      </c>
      <c r="CJ71" s="64">
        <v>575.43993733715809</v>
      </c>
      <c r="CK71" s="64">
        <v>11.058993101151309</v>
      </c>
      <c r="CL71" s="64">
        <v>-4.7672707195365041</v>
      </c>
      <c r="CN71" s="64">
        <v>691.83097091893603</v>
      </c>
      <c r="CO71" s="64">
        <v>7.2575422376133698</v>
      </c>
      <c r="CP71" s="64">
        <v>-6.2329958504410401</v>
      </c>
      <c r="CQ71" s="186">
        <v>575.43993733715809</v>
      </c>
      <c r="CR71" s="64">
        <v>7.0905603483318691</v>
      </c>
      <c r="CS71" s="64">
        <v>-5.1228774582083085</v>
      </c>
      <c r="CU71" s="64">
        <v>691.83097091893603</v>
      </c>
      <c r="CV71" s="64">
        <v>4.7255642107137001</v>
      </c>
      <c r="CW71" s="64">
        <v>-4.7072692452887601</v>
      </c>
      <c r="CX71" s="139">
        <v>575.43993733715809</v>
      </c>
      <c r="CY71" s="64">
        <v>4.9911018995279086</v>
      </c>
      <c r="CZ71" s="64">
        <v>-4.0127675493806931</v>
      </c>
    </row>
    <row r="72" spans="2:104">
      <c r="B72" s="135">
        <f t="shared" si="51"/>
        <v>2.8000000000000007</v>
      </c>
      <c r="C72" s="139">
        <f t="shared" si="17"/>
        <v>630.95734448019482</v>
      </c>
      <c r="D72" s="139">
        <f t="shared" si="18"/>
        <v>3964.4219162950089</v>
      </c>
      <c r="E72" s="32" t="str">
        <f t="shared" si="19"/>
        <v>3964.42191629501i</v>
      </c>
      <c r="F72"/>
      <c r="G72" s="153" t="str">
        <f t="shared" si="0"/>
        <v>0.04+0.000279818673777186i</v>
      </c>
      <c r="H72" s="153" t="str">
        <f t="shared" si="1"/>
        <v>1+0.128031198207207i</v>
      </c>
      <c r="I72" t="str">
        <f t="shared" si="20"/>
        <v>0.0393901427835097-0.00476334850434853i</v>
      </c>
      <c r="J72"/>
      <c r="K72" t="str">
        <f t="shared" si="21"/>
        <v>0.04+0.000279818673777186i</v>
      </c>
      <c r="L72" t="str">
        <f t="shared" si="2"/>
        <v>5.43580907071529+0.695953148549282i</v>
      </c>
      <c r="M72" t="str">
        <f t="shared" si="22"/>
        <v>0.0072464176484268-0.00087629062065672i</v>
      </c>
      <c r="N72" s="153" t="str">
        <f t="shared" si="3"/>
        <v>0.0011+0.000872172821584902i</v>
      </c>
      <c r="O72" s="135" t="str">
        <f t="shared" si="4"/>
        <v>0.000242+0.000191878020748678i</v>
      </c>
      <c r="Q72" s="135" t="str">
        <f t="shared" si="5"/>
        <v>-0.00396442191629501i</v>
      </c>
      <c r="R72" s="135" t="str">
        <f t="shared" si="6"/>
        <v>-6.36971472885599E-06</v>
      </c>
      <c r="S72" s="64" t="str">
        <f t="shared" si="23"/>
        <v>0.999993630285271-0.00396442191629501i</v>
      </c>
      <c r="T72" s="135" t="str">
        <f t="shared" si="7"/>
        <v>0.00999993630285271-0.0000396442191629501i</v>
      </c>
      <c r="U72" s="64" t="str">
        <f t="shared" si="24"/>
        <v>0.0174883539512795-0.000724056819070992i</v>
      </c>
      <c r="W72" s="64" t="str">
        <f t="shared" si="25"/>
        <v>2.25976748908141-0.178813194945395i</v>
      </c>
      <c r="X72" s="172">
        <f t="shared" si="26"/>
        <v>2.266831106058826</v>
      </c>
      <c r="Y72" s="188">
        <f t="shared" si="27"/>
        <v>7.1083832702927605</v>
      </c>
      <c r="Z72" s="161">
        <f t="shared" si="28"/>
        <v>-4.524331916366533</v>
      </c>
      <c r="AA72" s="161">
        <f t="shared" si="8"/>
        <v>-4.524331916366533</v>
      </c>
      <c r="AB72" s="199"/>
      <c r="AC72" s="64" t="str">
        <f t="shared" si="9"/>
        <v>-25224358.585288i</v>
      </c>
      <c r="AD72" s="64" t="str">
        <f t="shared" si="10"/>
        <v>22000-2522435.8585288i</v>
      </c>
      <c r="AE72" s="64" t="str">
        <f t="shared" si="29"/>
        <v>18181.8067515409-2293137.92382409i</v>
      </c>
      <c r="AF72" s="64" t="str">
        <f t="shared" si="11"/>
        <v>10000</v>
      </c>
      <c r="AG72" s="64" t="str">
        <f t="shared" si="12"/>
        <v>-646778.425263796i</v>
      </c>
      <c r="AH72" s="64" t="str">
        <f t="shared" si="30"/>
        <v>9997.61007019705-154.575503444157i</v>
      </c>
      <c r="AI72" s="64" t="str">
        <f t="shared" si="31"/>
        <v>5.36365750964931-229.285681044675i</v>
      </c>
      <c r="AJ72" s="161">
        <f t="shared" si="32"/>
        <v>229.34840822207869</v>
      </c>
      <c r="AK72" s="161">
        <f t="shared" si="33"/>
        <v>47.209914605709137</v>
      </c>
      <c r="AL72" s="161">
        <f t="shared" si="34"/>
        <v>-88.659929839686939</v>
      </c>
      <c r="AN72" s="64" t="str">
        <f t="shared" si="35"/>
        <v>-28.8786863199563-519.09142047254i</v>
      </c>
      <c r="AO72" s="161">
        <f t="shared" si="36"/>
        <v>519.89410588288627</v>
      </c>
      <c r="AP72" s="161">
        <f t="shared" si="37"/>
        <v>54.318297876001907</v>
      </c>
      <c r="AQ72" s="161">
        <f t="shared" si="38"/>
        <v>-93.184261756053459</v>
      </c>
      <c r="AR72" s="64">
        <f t="shared" si="39"/>
        <v>86.815738243946541</v>
      </c>
      <c r="AT72" s="135" t="str">
        <f t="shared" si="13"/>
        <v>-7893781.91615956i</v>
      </c>
      <c r="AU72" s="135" t="str">
        <f t="shared" si="14"/>
        <v>27456.1383070198-1412928.58349188i</v>
      </c>
      <c r="AV72" s="135" t="str">
        <f t="shared" si="40"/>
        <v>19752.1107669975-1198478.49767068i</v>
      </c>
      <c r="AW72" s="135" t="str">
        <f t="shared" si="15"/>
        <v>10000</v>
      </c>
      <c r="AX72" s="135" t="str">
        <f t="shared" si="16"/>
        <v>1789.92604368691-606724.926794292i</v>
      </c>
      <c r="AY72" s="135" t="str">
        <f t="shared" si="41"/>
        <v>9996.79842674113-164.757123489581i</v>
      </c>
      <c r="AZ72" s="135" t="str">
        <f t="shared" si="42"/>
        <v>3.95061423737672-119.821122193357i</v>
      </c>
      <c r="BA72" s="182">
        <f t="shared" si="43"/>
        <v>119.88623222258657</v>
      </c>
      <c r="BB72" s="182">
        <f t="shared" si="44"/>
        <v>41.575386228603108</v>
      </c>
      <c r="BC72" s="182">
        <f t="shared" si="45"/>
        <v>-88.111588758692506</v>
      </c>
      <c r="BE72" s="135" t="str">
        <f t="shared" si="46"/>
        <v>-12.4981280658107-271.474298391581i</v>
      </c>
      <c r="BF72" s="161">
        <f t="shared" si="47"/>
        <v>271.76184039035087</v>
      </c>
      <c r="BG72" s="161">
        <f t="shared" si="48"/>
        <v>48.683769498895863</v>
      </c>
      <c r="BH72" s="161">
        <f t="shared" si="49"/>
        <v>-92.635920675059054</v>
      </c>
      <c r="BI72" s="64">
        <f t="shared" si="50"/>
        <v>87.364079324940946</v>
      </c>
      <c r="BS72" s="64">
        <v>758.57757502918298</v>
      </c>
      <c r="BT72" s="64">
        <v>10.8849375932112</v>
      </c>
      <c r="BU72" s="64">
        <v>-4.1968941844460499</v>
      </c>
      <c r="BV72" s="186">
        <v>630.95734448019482</v>
      </c>
      <c r="BW72" s="64">
        <v>10.638398746528548</v>
      </c>
      <c r="BX72" s="64">
        <v>-3.4121437193219917</v>
      </c>
      <c r="BZ72" s="64">
        <v>758.57757502918298</v>
      </c>
      <c r="CA72" s="64">
        <v>6.7396635766148698</v>
      </c>
      <c r="CB72" s="64">
        <v>-6.3487595098407903</v>
      </c>
      <c r="CC72" s="186">
        <v>630.95734448019482</v>
      </c>
      <c r="CD72" s="64">
        <v>7.0243247791933063</v>
      </c>
      <c r="CE72" s="64">
        <v>-5.4265641528247652</v>
      </c>
      <c r="CG72" s="64">
        <v>758.57757502918298</v>
      </c>
      <c r="CH72" s="64">
        <v>10.468412037453099</v>
      </c>
      <c r="CI72" s="64">
        <v>-5.96085840237585</v>
      </c>
      <c r="CJ72" s="64">
        <v>630.95734448019482</v>
      </c>
      <c r="CK72" s="64">
        <v>11.061343969458404</v>
      </c>
      <c r="CL72" s="64">
        <v>-5.2298787359909493</v>
      </c>
      <c r="CN72" s="64">
        <v>758.57757502918298</v>
      </c>
      <c r="CO72" s="64">
        <v>7.2487501126593603</v>
      </c>
      <c r="CP72" s="64">
        <v>-6.8301604393849296</v>
      </c>
      <c r="CQ72" s="186">
        <v>630.95734448019482</v>
      </c>
      <c r="CR72" s="64">
        <v>7.0847489607856229</v>
      </c>
      <c r="CS72" s="64">
        <v>-5.614892094771526</v>
      </c>
      <c r="CU72" s="64">
        <v>758.57757502918298</v>
      </c>
      <c r="CV72" s="64">
        <v>4.7206131039279304</v>
      </c>
      <c r="CW72" s="64">
        <v>-5.1596493179087304</v>
      </c>
      <c r="CX72" s="139">
        <v>630.95734448019482</v>
      </c>
      <c r="CY72" s="64">
        <v>4.9874325489368561</v>
      </c>
      <c r="CZ72" s="64">
        <v>-4.3987810456065857</v>
      </c>
    </row>
    <row r="73" spans="2:104">
      <c r="B73" s="135">
        <f t="shared" si="51"/>
        <v>2.8400000000000007</v>
      </c>
      <c r="C73" s="139">
        <f t="shared" si="17"/>
        <v>691.83097091893796</v>
      </c>
      <c r="D73" s="139">
        <f t="shared" si="18"/>
        <v>4346.9021915296589</v>
      </c>
      <c r="E73" s="32" t="str">
        <f t="shared" si="19"/>
        <v>4346.90219152966i</v>
      </c>
      <c r="F73"/>
      <c r="G73" s="153" t="str">
        <f t="shared" si="0"/>
        <v>0.04+0.000306812831794422i</v>
      </c>
      <c r="H73" s="153" t="str">
        <f t="shared" si="1"/>
        <v>1+0.140382734237916i</v>
      </c>
      <c r="I73" t="str">
        <f t="shared" si="20"/>
        <v>0.0392691812152022-0.00520590219847987i</v>
      </c>
      <c r="J73"/>
      <c r="K73" t="str">
        <f t="shared" si="21"/>
        <v>0.04+0.000306812831794422i</v>
      </c>
      <c r="L73" t="str">
        <f t="shared" si="2"/>
        <v>5.43580907071529+0.763093740142277i</v>
      </c>
      <c r="M73" t="str">
        <f t="shared" si="22"/>
        <v>0.00722416492270852-0.000957705123700166i</v>
      </c>
      <c r="N73" s="153" t="str">
        <f t="shared" si="3"/>
        <v>0.0011+0.000956318482136525i</v>
      </c>
      <c r="O73" s="135" t="str">
        <f t="shared" si="4"/>
        <v>0.000242+0.000210390066070035i</v>
      </c>
      <c r="Q73" s="135" t="str">
        <f t="shared" si="5"/>
        <v>-0.00434690219152966i</v>
      </c>
      <c r="R73" s="135" t="str">
        <f t="shared" si="6"/>
        <v>-7.65808147716227E-06</v>
      </c>
      <c r="S73" s="64" t="str">
        <f t="shared" si="23"/>
        <v>0.999992341918523-0.00434690219152966i</v>
      </c>
      <c r="T73" s="135" t="str">
        <f t="shared" si="7"/>
        <v>0.00999992341918523-0.0000434690219152966i</v>
      </c>
      <c r="U73" s="64" t="str">
        <f t="shared" si="24"/>
        <v>0.0174660883418938-0.000790784079545428i</v>
      </c>
      <c r="W73" s="64" t="str">
        <f t="shared" si="25"/>
        <v>2.25717778661319-0.195863084690642i</v>
      </c>
      <c r="X73" s="172">
        <f t="shared" si="26"/>
        <v>2.2656597070885454</v>
      </c>
      <c r="Y73" s="188">
        <f t="shared" si="27"/>
        <v>7.1038936230661083</v>
      </c>
      <c r="Z73" s="161">
        <f t="shared" si="28"/>
        <v>-4.9593295625822256</v>
      </c>
      <c r="AA73" s="161">
        <f t="shared" si="8"/>
        <v>-4.9593295625822256</v>
      </c>
      <c r="AB73" s="199"/>
      <c r="AC73" s="64" t="str">
        <f t="shared" si="9"/>
        <v>-23004888.445583i</v>
      </c>
      <c r="AD73" s="64" t="str">
        <f t="shared" si="10"/>
        <v>22000-2300488.8445583i</v>
      </c>
      <c r="AE73" s="64" t="str">
        <f t="shared" si="29"/>
        <v>18181.8044396041-2091369.30195811i</v>
      </c>
      <c r="AF73" s="64" t="str">
        <f t="shared" si="11"/>
        <v>10000</v>
      </c>
      <c r="AG73" s="64" t="str">
        <f t="shared" si="12"/>
        <v>-589868.934502128i</v>
      </c>
      <c r="AH73" s="64" t="str">
        <f t="shared" si="30"/>
        <v>9997.12681128599-169.480476535418i</v>
      </c>
      <c r="AI73" s="64" t="str">
        <f t="shared" si="31"/>
        <v>5.36366178673244-209.106106730841i</v>
      </c>
      <c r="AJ73" s="161">
        <f t="shared" si="32"/>
        <v>209.17488553813607</v>
      </c>
      <c r="AK73" s="161">
        <f t="shared" si="33"/>
        <v>46.410190800180743</v>
      </c>
      <c r="AL73" s="161">
        <f t="shared" si="34"/>
        <v>-88.530660745766468</v>
      </c>
      <c r="AN73" s="64" t="str">
        <f t="shared" si="35"/>
        <v>-28.8494288520347-473.040202500808i</v>
      </c>
      <c r="AO73" s="161">
        <f t="shared" si="36"/>
        <v>473.91910989861339</v>
      </c>
      <c r="AP73" s="161">
        <f t="shared" si="37"/>
        <v>53.514084423246857</v>
      </c>
      <c r="AQ73" s="161">
        <f t="shared" si="38"/>
        <v>-93.489990308348681</v>
      </c>
      <c r="AR73" s="64">
        <f t="shared" si="39"/>
        <v>86.510009691651319</v>
      </c>
      <c r="AT73" s="135" t="str">
        <f t="shared" si="13"/>
        <v>-7199214.67104918i</v>
      </c>
      <c r="AU73" s="135" t="str">
        <f t="shared" si="14"/>
        <v>27456.1383070198-1288606.18338038i</v>
      </c>
      <c r="AV73" s="135" t="str">
        <f t="shared" si="40"/>
        <v>19752.0759961727-1093036.12970171i</v>
      </c>
      <c r="AW73" s="135" t="str">
        <f t="shared" si="15"/>
        <v>10000</v>
      </c>
      <c r="AX73" s="135" t="str">
        <f t="shared" si="16"/>
        <v>1789.92604368691-553339.709743815i</v>
      </c>
      <c r="AY73" s="135" t="str">
        <f t="shared" si="41"/>
        <v>9996.15115618512-180.638802269126i</v>
      </c>
      <c r="AZ73" s="135" t="str">
        <f t="shared" si="42"/>
        <v>3.95064613415576-109.274306945626i</v>
      </c>
      <c r="BA73" s="182">
        <f t="shared" si="43"/>
        <v>109.34569842167642</v>
      </c>
      <c r="BB73" s="182">
        <f t="shared" si="44"/>
        <v>40.776034057765791</v>
      </c>
      <c r="BC73" s="182">
        <f t="shared" si="45"/>
        <v>-87.929460159705116</v>
      </c>
      <c r="BE73" s="135" t="str">
        <f t="shared" si="46"/>
        <v>-12.4854921390167-247.425324023575i</v>
      </c>
      <c r="BF73" s="161">
        <f t="shared" si="47"/>
        <v>247.74014305744745</v>
      </c>
      <c r="BG73" s="161">
        <f t="shared" si="48"/>
        <v>47.879927680831891</v>
      </c>
      <c r="BH73" s="161">
        <f t="shared" si="49"/>
        <v>-92.888789722287328</v>
      </c>
      <c r="BI73" s="64">
        <f t="shared" si="50"/>
        <v>87.111210277712672</v>
      </c>
      <c r="BS73" s="64">
        <v>831.76377110267094</v>
      </c>
      <c r="BT73" s="64">
        <v>10.8829745090645</v>
      </c>
      <c r="BU73" s="64">
        <v>-4.6017998736385204</v>
      </c>
      <c r="BV73" s="186">
        <v>691.83097091893796</v>
      </c>
      <c r="BW73" s="64">
        <v>10.637261820573995</v>
      </c>
      <c r="BX73" s="64">
        <v>-3.741428109827087</v>
      </c>
      <c r="BZ73" s="64">
        <v>831.76377110267094</v>
      </c>
      <c r="CA73" s="64">
        <v>6.7300597026609799</v>
      </c>
      <c r="CB73" s="64">
        <v>-6.9564458534464304</v>
      </c>
      <c r="CC73" s="186">
        <v>691.83097091893796</v>
      </c>
      <c r="CD73" s="64">
        <v>7.0171910668904571</v>
      </c>
      <c r="CE73" s="64">
        <v>-5.9470125281763613</v>
      </c>
      <c r="CG73" s="64">
        <v>831.76377110267094</v>
      </c>
      <c r="CH73" s="64">
        <v>10.473629199948199</v>
      </c>
      <c r="CI73" s="64">
        <v>-6.5424100529092</v>
      </c>
      <c r="CJ73" s="64">
        <v>691.83097091893796</v>
      </c>
      <c r="CK73" s="64">
        <v>11.064160957669083</v>
      </c>
      <c r="CL73" s="64">
        <v>-5.7379677764671833</v>
      </c>
      <c r="CN73" s="64">
        <v>831.76377110267094</v>
      </c>
      <c r="CO73" s="64">
        <v>7.2382025786684601</v>
      </c>
      <c r="CP73" s="64">
        <v>-7.4836214377081598</v>
      </c>
      <c r="CQ73" s="186">
        <v>691.83097091893796</v>
      </c>
      <c r="CR73" s="64">
        <v>7.0777720624226408</v>
      </c>
      <c r="CS73" s="64">
        <v>-6.1536703639464685</v>
      </c>
      <c r="CU73" s="64">
        <v>831.76377110267094</v>
      </c>
      <c r="CV73" s="64">
        <v>4.7146678690489798</v>
      </c>
      <c r="CW73" s="64">
        <v>-5.6551147476946202</v>
      </c>
      <c r="CX73" s="139">
        <v>691.83097091893796</v>
      </c>
      <c r="CY73" s="64">
        <v>4.9830250488120216</v>
      </c>
      <c r="CZ73" s="64">
        <v>-4.8216781018959756</v>
      </c>
    </row>
    <row r="74" spans="2:104">
      <c r="B74" s="135">
        <f t="shared" si="51"/>
        <v>2.8800000000000008</v>
      </c>
      <c r="C74" s="139">
        <f t="shared" si="17"/>
        <v>758.57757502918582</v>
      </c>
      <c r="D74" s="139">
        <f t="shared" si="18"/>
        <v>4766.2834737793009</v>
      </c>
      <c r="E74" s="32" t="str">
        <f t="shared" si="19"/>
        <v>4766.2834737793i</v>
      </c>
      <c r="F74"/>
      <c r="G74" s="153" t="str">
        <f t="shared" si="0"/>
        <v>0.04+0.000336410623721949i</v>
      </c>
      <c r="H74" s="153" t="str">
        <f t="shared" si="1"/>
        <v>1+0.153925706822942i</v>
      </c>
      <c r="I74" t="str">
        <f t="shared" si="20"/>
        <v>0.0391247936852603-0.00568590089858353i</v>
      </c>
      <c r="J74"/>
      <c r="K74" t="str">
        <f t="shared" si="21"/>
        <v>0.04+0.000336410623721949i</v>
      </c>
      <c r="L74" t="str">
        <f t="shared" si="2"/>
        <v>5.43580907071529+0.83671075336441i</v>
      </c>
      <c r="M74" t="str">
        <f t="shared" si="22"/>
        <v>0.00719760263399243-0.00104600820680321i</v>
      </c>
      <c r="N74" s="153" t="str">
        <f t="shared" si="3"/>
        <v>0.0011+0.00104858236423145i</v>
      </c>
      <c r="O74" s="135" t="str">
        <f t="shared" si="4"/>
        <v>0.000242+0.000230688120130919i</v>
      </c>
      <c r="Q74" s="135" t="str">
        <f t="shared" si="5"/>
        <v>-0.0047662834737793i</v>
      </c>
      <c r="R74" s="135" t="str">
        <f t="shared" si="6"/>
        <v>-9.20703899739457E-06</v>
      </c>
      <c r="S74" s="64" t="str">
        <f t="shared" si="23"/>
        <v>0.999990792961003-0.0047662834737793i</v>
      </c>
      <c r="T74" s="135" t="str">
        <f t="shared" si="7"/>
        <v>0.00999990792961003-0.000047662834737793i</v>
      </c>
      <c r="U74" s="64" t="str">
        <f t="shared" si="24"/>
        <v>0.0174395105636025-0.000862982921410084i</v>
      </c>
      <c r="W74" s="64" t="str">
        <f t="shared" si="25"/>
        <v>2.25407120664368-0.214494319090289i</v>
      </c>
      <c r="X74" s="172">
        <f t="shared" si="26"/>
        <v>2.2642536999069041</v>
      </c>
      <c r="Y74" s="188">
        <f t="shared" si="27"/>
        <v>7.0985017214975823</v>
      </c>
      <c r="Z74" s="161">
        <f t="shared" si="28"/>
        <v>-5.4358196773617804</v>
      </c>
      <c r="AA74" s="161">
        <f t="shared" si="8"/>
        <v>-5.4358196773617804</v>
      </c>
      <c r="AB74" s="199"/>
      <c r="AC74" s="64" t="str">
        <f t="shared" si="9"/>
        <v>-20980707.6205452i</v>
      </c>
      <c r="AD74" s="64" t="str">
        <f t="shared" si="10"/>
        <v>22000-2098070.76205452i</v>
      </c>
      <c r="AE74" s="64" t="str">
        <f t="shared" si="29"/>
        <v>18181.8016600454-1907354.38833736i</v>
      </c>
      <c r="AF74" s="64" t="str">
        <f t="shared" si="11"/>
        <v>10000</v>
      </c>
      <c r="AG74" s="64" t="str">
        <f t="shared" si="12"/>
        <v>-537966.862065261i</v>
      </c>
      <c r="AH74" s="64" t="str">
        <f t="shared" si="30"/>
        <v>9996.54586812997-185.820848327964i</v>
      </c>
      <c r="AI74" s="64" t="str">
        <f t="shared" si="31"/>
        <v>5.36366692891593-190.701641581633i</v>
      </c>
      <c r="AJ74" s="161">
        <f t="shared" si="32"/>
        <v>190.77705581346504</v>
      </c>
      <c r="AK74" s="161">
        <f t="shared" si="33"/>
        <v>45.610522844176806</v>
      </c>
      <c r="AL74" s="161">
        <f t="shared" si="34"/>
        <v>-88.388925875790193</v>
      </c>
      <c r="AN74" s="64" t="str">
        <f t="shared" si="35"/>
        <v>-28.8143315739564-431.005555434587i</v>
      </c>
      <c r="AO74" s="161">
        <f t="shared" si="36"/>
        <v>431.96765448298413</v>
      </c>
      <c r="AP74" s="161">
        <f t="shared" si="37"/>
        <v>52.709024565674383</v>
      </c>
      <c r="AQ74" s="161">
        <f t="shared" si="38"/>
        <v>-93.824745553151956</v>
      </c>
      <c r="AR74" s="64">
        <f t="shared" si="39"/>
        <v>86.175254446848044</v>
      </c>
      <c r="AT74" s="135" t="str">
        <f t="shared" si="13"/>
        <v>-6565761.81484694i</v>
      </c>
      <c r="AU74" s="135" t="str">
        <f t="shared" si="14"/>
        <v>27456.1383070198-1175222.80690396i</v>
      </c>
      <c r="AV74" s="135" t="str">
        <f t="shared" si="40"/>
        <v>19752.0341926089-996872.584193879i</v>
      </c>
      <c r="AW74" s="135" t="str">
        <f t="shared" si="15"/>
        <v>10000</v>
      </c>
      <c r="AX74" s="135" t="str">
        <f t="shared" si="16"/>
        <v>1789.92604368691-504651.813132412i</v>
      </c>
      <c r="AY74" s="135" t="str">
        <f t="shared" si="41"/>
        <v>9995.37309663672-198.04833065231i</v>
      </c>
      <c r="AZ74" s="135" t="str">
        <f t="shared" si="42"/>
        <v>3.95068448218906-99.6551252361371i</v>
      </c>
      <c r="BA74" s="182">
        <f t="shared" si="43"/>
        <v>99.73340410167485</v>
      </c>
      <c r="BB74" s="182">
        <f t="shared" si="44"/>
        <v>39.976812852748537</v>
      </c>
      <c r="BC74" s="182">
        <f t="shared" si="45"/>
        <v>-87.729779817401266</v>
      </c>
      <c r="BE74" s="135" t="str">
        <f t="shared" si="46"/>
        <v>-12.4703340935463-225.477147767194i</v>
      </c>
      <c r="BF74" s="161">
        <f t="shared" si="47"/>
        <v>225.82172924152738</v>
      </c>
      <c r="BG74" s="161">
        <f t="shared" si="48"/>
        <v>47.075314574246107</v>
      </c>
      <c r="BH74" s="161">
        <f t="shared" si="49"/>
        <v>-93.165599494763029</v>
      </c>
      <c r="BI74" s="64">
        <f t="shared" si="50"/>
        <v>86.834400505236971</v>
      </c>
      <c r="BS74" s="64">
        <v>912.01083935590896</v>
      </c>
      <c r="BT74" s="64">
        <v>10.880612960769099</v>
      </c>
      <c r="BU74" s="64">
        <v>-5.0457683478620403</v>
      </c>
      <c r="BV74" s="186">
        <v>758.57757502918582</v>
      </c>
      <c r="BW74" s="64">
        <v>10.635893997176485</v>
      </c>
      <c r="BX74" s="64">
        <v>-4.1025085471029774</v>
      </c>
      <c r="BZ74" s="64">
        <v>912.01083935590896</v>
      </c>
      <c r="CA74" s="64">
        <v>6.7185411179011503</v>
      </c>
      <c r="CB74" s="64">
        <v>-7.6212418198993799</v>
      </c>
      <c r="CC74" s="186">
        <v>758.57757502918582</v>
      </c>
      <c r="CD74" s="64">
        <v>7.0086298658103798</v>
      </c>
      <c r="CE74" s="64">
        <v>-6.5166960893621448</v>
      </c>
      <c r="CG74" s="64">
        <v>912.01083935590896</v>
      </c>
      <c r="CH74" s="64">
        <v>10.4798755346461</v>
      </c>
      <c r="CI74" s="64">
        <v>-7.1821262699722999</v>
      </c>
      <c r="CJ74" s="64">
        <v>758.57757502918582</v>
      </c>
      <c r="CK74" s="64">
        <v>11.067534140016669</v>
      </c>
      <c r="CL74" s="64">
        <v>-6.2961958446746404</v>
      </c>
      <c r="CN74" s="64">
        <v>912.01083935590896</v>
      </c>
      <c r="CO74" s="64">
        <v>7.2255546303998397</v>
      </c>
      <c r="CP74" s="64">
        <v>-8.1983994588903393</v>
      </c>
      <c r="CQ74" s="186">
        <v>758.57757502918582</v>
      </c>
      <c r="CR74" s="64">
        <v>7.0693982876936179</v>
      </c>
      <c r="CS74" s="64">
        <v>-6.7435024968634352</v>
      </c>
      <c r="CU74" s="64">
        <v>912.01083935590896</v>
      </c>
      <c r="CV74" s="64">
        <v>4.7075306542603697</v>
      </c>
      <c r="CW74" s="64">
        <v>-6.1976462935995604</v>
      </c>
      <c r="CX74" s="139">
        <v>758.57757502918582</v>
      </c>
      <c r="CY74" s="64">
        <v>4.9777318808569246</v>
      </c>
      <c r="CZ74" s="64">
        <v>-5.2849040959982059</v>
      </c>
    </row>
    <row r="75" spans="2:104">
      <c r="B75" s="135">
        <f t="shared" si="51"/>
        <v>2.9200000000000008</v>
      </c>
      <c r="C75" s="139">
        <f t="shared" si="17"/>
        <v>831.76377110267288</v>
      </c>
      <c r="D75" s="139">
        <f t="shared" si="18"/>
        <v>5226.1259056365989</v>
      </c>
      <c r="E75" s="32" t="str">
        <f t="shared" si="19"/>
        <v>5226.1259056366i</v>
      </c>
      <c r="F75"/>
      <c r="G75" s="153" t="str">
        <f t="shared" si="0"/>
        <v>0.04+0.000368863016331946i</v>
      </c>
      <c r="H75" s="153" t="str">
        <f t="shared" si="1"/>
        <v>1+0.168774994443839i</v>
      </c>
      <c r="I75" t="str">
        <f t="shared" si="20"/>
        <v>0.0389526875960676-0.00620537661626696i</v>
      </c>
      <c r="J75"/>
      <c r="K75" t="str">
        <f t="shared" si="21"/>
        <v>0.04+0.000368863016331946i</v>
      </c>
      <c r="L75" t="str">
        <f t="shared" si="2"/>
        <v>5.43580907071529+0.917428645707742i</v>
      </c>
      <c r="M75" t="str">
        <f t="shared" si="22"/>
        <v>0.00716594109346484-0.0011415736894987i</v>
      </c>
      <c r="N75" s="153" t="str">
        <f t="shared" si="3"/>
        <v>0.0011+0.00114974769924005i</v>
      </c>
      <c r="O75" s="135" t="str">
        <f t="shared" si="4"/>
        <v>0.000242+0.000252944493832811i</v>
      </c>
      <c r="Q75" s="135" t="str">
        <f t="shared" si="5"/>
        <v>-0.0052261259056366i</v>
      </c>
      <c r="R75" s="135" t="str">
        <f t="shared" si="6"/>
        <v>-0.000011069295534703</v>
      </c>
      <c r="S75" s="64" t="str">
        <f t="shared" si="23"/>
        <v>0.999988930704465-0.0052261259056366i</v>
      </c>
      <c r="T75" s="135" t="str">
        <f t="shared" si="7"/>
        <v>0.00999988930704465-0.000052261259056366i</v>
      </c>
      <c r="U75" s="64" t="str">
        <f t="shared" si="24"/>
        <v>0.0174078304005095-0.000940890454722255i</v>
      </c>
      <c r="W75" s="64" t="str">
        <f t="shared" si="25"/>
        <v>2.25034625219127-0.234839564362974i</v>
      </c>
      <c r="X75" s="172">
        <f t="shared" si="26"/>
        <v>2.262566656640526</v>
      </c>
      <c r="Y75" s="188">
        <f t="shared" si="27"/>
        <v>7.0920276531004989</v>
      </c>
      <c r="Z75" s="161">
        <f t="shared" si="28"/>
        <v>-5.9576556258518787</v>
      </c>
      <c r="AA75" s="161">
        <f t="shared" si="8"/>
        <v>-5.9576556258518787</v>
      </c>
      <c r="AB75" s="199"/>
      <c r="AC75" s="64" t="str">
        <f t="shared" si="9"/>
        <v>-19134632.7672944i</v>
      </c>
      <c r="AD75" s="64" t="str">
        <f t="shared" si="10"/>
        <v>22000-1913463.27672944i</v>
      </c>
      <c r="AE75" s="64" t="str">
        <f t="shared" si="29"/>
        <v>18181.7983182821-1739531.07382748i</v>
      </c>
      <c r="AF75" s="64" t="str">
        <f t="shared" si="11"/>
        <v>10000</v>
      </c>
      <c r="AG75" s="64" t="str">
        <f t="shared" si="12"/>
        <v>-490631.609417804i</v>
      </c>
      <c r="AH75" s="64" t="str">
        <f t="shared" si="30"/>
        <v>9995.84751021307-203.734274725479i</v>
      </c>
      <c r="AI75" s="64" t="str">
        <f t="shared" si="31"/>
        <v>5.36367311117817-173.916049439539i</v>
      </c>
      <c r="AJ75" s="161">
        <f t="shared" si="32"/>
        <v>173.99873919629343</v>
      </c>
      <c r="AK75" s="161">
        <f t="shared" si="33"/>
        <v>44.810922027482299</v>
      </c>
      <c r="AL75" s="161">
        <f t="shared" si="34"/>
        <v>-88.23352442245988</v>
      </c>
      <c r="AN75" s="64" t="str">
        <f t="shared" si="35"/>
        <v>-28.7722476023919-392.630932708993i</v>
      </c>
      <c r="AO75" s="161">
        <f t="shared" si="36"/>
        <v>393.68374560302476</v>
      </c>
      <c r="AP75" s="161">
        <f t="shared" si="37"/>
        <v>51.902949680582807</v>
      </c>
      <c r="AQ75" s="161">
        <f t="shared" si="38"/>
        <v>-94.191180048311764</v>
      </c>
      <c r="AR75" s="64">
        <f t="shared" si="39"/>
        <v>85.808819951688236</v>
      </c>
      <c r="AT75" s="135" t="str">
        <f t="shared" si="13"/>
        <v>-5988045.94376954i</v>
      </c>
      <c r="AU75" s="135" t="str">
        <f t="shared" si="14"/>
        <v>27456.1383070198-1071815.93855469i</v>
      </c>
      <c r="AV75" s="135" t="str">
        <f t="shared" si="40"/>
        <v>19751.9839339051-909171.52538111i</v>
      </c>
      <c r="AW75" s="135" t="str">
        <f t="shared" si="15"/>
        <v>10000</v>
      </c>
      <c r="AX75" s="135" t="str">
        <f t="shared" si="16"/>
        <v>1789.92604368691-460247.923677373i</v>
      </c>
      <c r="AY75" s="135" t="str">
        <f t="shared" si="41"/>
        <v>9994.43785235441-217.131718687919i</v>
      </c>
      <c r="AZ75" s="135" t="str">
        <f t="shared" si="42"/>
        <v>3.95073058618899-90.8819195113495i</v>
      </c>
      <c r="BA75" s="182">
        <f t="shared" si="43"/>
        <v>90.967750143839751</v>
      </c>
      <c r="BB75" s="182">
        <f t="shared" si="44"/>
        <v>39.17774907346169</v>
      </c>
      <c r="BC75" s="182">
        <f t="shared" si="45"/>
        <v>-87.510860634604938</v>
      </c>
      <c r="BE75" s="135" t="str">
        <f t="shared" si="46"/>
        <v>-12.4521586184684-205.44357481409i</v>
      </c>
      <c r="BF75" s="161">
        <f t="shared" si="47"/>
        <v>205.82059830505813</v>
      </c>
      <c r="BG75" s="161">
        <f t="shared" si="48"/>
        <v>46.269776726562178</v>
      </c>
      <c r="BH75" s="161">
        <f t="shared" si="49"/>
        <v>-93.468516260456795</v>
      </c>
      <c r="BI75" s="64">
        <f t="shared" si="50"/>
        <v>86.531483739543205</v>
      </c>
      <c r="BS75" s="64">
        <v>1000</v>
      </c>
      <c r="BT75" s="64">
        <v>10.8777717340782</v>
      </c>
      <c r="BU75" s="64">
        <v>-5.5325672788632101</v>
      </c>
      <c r="BV75" s="186">
        <v>831.76377110267288</v>
      </c>
      <c r="BW75" s="64">
        <v>10.634248158159751</v>
      </c>
      <c r="BX75" s="64">
        <v>-4.498461117516058</v>
      </c>
      <c r="BZ75" s="64">
        <v>1000</v>
      </c>
      <c r="CA75" s="64">
        <v>6.7047327186177004</v>
      </c>
      <c r="CB75" s="64">
        <v>-8.3481845008415707</v>
      </c>
      <c r="CC75" s="186">
        <v>831.76377110267288</v>
      </c>
      <c r="CD75" s="64">
        <v>6.9983592204799745</v>
      </c>
      <c r="CE75" s="64">
        <v>-7.1400592084048329</v>
      </c>
      <c r="CG75" s="64">
        <v>1000</v>
      </c>
      <c r="CH75" s="64">
        <v>10.487347412091999</v>
      </c>
      <c r="CI75" s="64">
        <v>-7.8862745020831904</v>
      </c>
      <c r="CJ75" s="64">
        <v>831.76377110267288</v>
      </c>
      <c r="CK75" s="64">
        <v>11.071569915607324</v>
      </c>
      <c r="CL75" s="64">
        <v>-6.9097561226062831</v>
      </c>
      <c r="CN75" s="64">
        <v>1000</v>
      </c>
      <c r="CO75" s="64">
        <v>7.21039584171917</v>
      </c>
      <c r="CP75" s="64">
        <v>-8.9798735557390099</v>
      </c>
      <c r="CQ75" s="186">
        <v>831.76377110267288</v>
      </c>
      <c r="CR75" s="64">
        <v>7.0593513899106322</v>
      </c>
      <c r="CS75" s="64">
        <v>-7.3890238631989833</v>
      </c>
      <c r="CU75" s="64">
        <v>1000</v>
      </c>
      <c r="CV75" s="64">
        <v>4.6989650047995699</v>
      </c>
      <c r="CW75" s="64">
        <v>-6.7915539079898597</v>
      </c>
      <c r="CX75" s="139">
        <v>831.76377110267288</v>
      </c>
      <c r="CY75" s="64">
        <v>4.9713764746706035</v>
      </c>
      <c r="CZ75" s="64">
        <v>-5.7922013757230024</v>
      </c>
    </row>
    <row r="76" spans="2:104">
      <c r="B76" s="135">
        <f t="shared" si="51"/>
        <v>2.9600000000000009</v>
      </c>
      <c r="C76" s="139">
        <f t="shared" si="17"/>
        <v>912.01083935591225</v>
      </c>
      <c r="D76" s="139">
        <f t="shared" si="18"/>
        <v>5730.3331058295898</v>
      </c>
      <c r="E76" s="32" t="str">
        <f t="shared" si="19"/>
        <v>5730.33310582959i</v>
      </c>
      <c r="F76"/>
      <c r="G76" s="153" t="str">
        <f t="shared" si="0"/>
        <v>0.04+0.000404445116948784i</v>
      </c>
      <c r="H76" s="153" t="str">
        <f t="shared" si="1"/>
        <v>1+0.185056536842756i</v>
      </c>
      <c r="I76" t="str">
        <f t="shared" si="20"/>
        <v>0.038747888066936-0.00676610485868915i</v>
      </c>
      <c r="J76"/>
      <c r="K76" t="str">
        <f t="shared" si="21"/>
        <v>0.04+0.000404445116948784i</v>
      </c>
      <c r="L76" t="str">
        <f t="shared" si="2"/>
        <v>5.43580907071529+1.00593200156501i</v>
      </c>
      <c r="M76" t="str">
        <f t="shared" si="22"/>
        <v>0.00712826509593305-0.0012447282034133i</v>
      </c>
      <c r="N76" s="153" t="str">
        <f t="shared" si="3"/>
        <v>0.0011+0.00126067328328251i</v>
      </c>
      <c r="O76" s="135" t="str">
        <f t="shared" si="4"/>
        <v>0.000242+0.000277348122322152i</v>
      </c>
      <c r="Q76" s="135" t="str">
        <f t="shared" si="5"/>
        <v>-0.00573033310582959i</v>
      </c>
      <c r="R76" s="135" t="str">
        <f t="shared" si="6"/>
        <v>-0.0000133082203376428</v>
      </c>
      <c r="S76" s="64" t="str">
        <f t="shared" si="23"/>
        <v>0.999986691779662-0.00573033310582959i</v>
      </c>
      <c r="T76" s="135" t="str">
        <f t="shared" si="7"/>
        <v>0.00999986691779662-0.0000573033310582959i</v>
      </c>
      <c r="U76" s="64" t="str">
        <f t="shared" si="24"/>
        <v>0.0173701320137297-0.00102468341214944i</v>
      </c>
      <c r="W76" s="64" t="str">
        <f t="shared" si="25"/>
        <v>2.24588222843845-0.257038149741061i</v>
      </c>
      <c r="X76" s="172">
        <f t="shared" si="26"/>
        <v>2.2605432078237224</v>
      </c>
      <c r="Y76" s="188">
        <f t="shared" si="27"/>
        <v>7.0842562503222624</v>
      </c>
      <c r="Z76" s="161">
        <f t="shared" si="28"/>
        <v>-6.5290157583682822</v>
      </c>
      <c r="AA76" s="161">
        <f t="shared" si="8"/>
        <v>-6.5290157583682822</v>
      </c>
      <c r="AB76" s="199"/>
      <c r="AC76" s="64" t="str">
        <f t="shared" si="9"/>
        <v>-17450992.4908672i</v>
      </c>
      <c r="AD76" s="64" t="str">
        <f t="shared" si="10"/>
        <v>22000-1745099.24908672i</v>
      </c>
      <c r="AE76" s="64" t="str">
        <f t="shared" si="29"/>
        <v>18181.7943006005-1586474.70035367i</v>
      </c>
      <c r="AF76" s="64" t="str">
        <f t="shared" si="11"/>
        <v>10000</v>
      </c>
      <c r="AG76" s="64" t="str">
        <f t="shared" si="12"/>
        <v>-447461.345919672i</v>
      </c>
      <c r="AH76" s="64" t="str">
        <f t="shared" si="30"/>
        <v>9995.00802849024-223.371429054892i</v>
      </c>
      <c r="AI76" s="64" t="str">
        <f t="shared" si="31"/>
        <v>5.36368054388917-158.606836817623i</v>
      </c>
      <c r="AJ76" s="161">
        <f t="shared" si="32"/>
        <v>158.69750393206877</v>
      </c>
      <c r="AK76" s="161">
        <f t="shared" si="33"/>
        <v>44.011401920471378</v>
      </c>
      <c r="AL76" s="161">
        <f t="shared" si="34"/>
        <v>-88.06314032087468</v>
      </c>
      <c r="AN76" s="64" t="str">
        <f t="shared" si="35"/>
        <v>-28.7218130593424-357.59094664034i</v>
      </c>
      <c r="AO76" s="161">
        <f t="shared" si="36"/>
        <v>358.74256461221648</v>
      </c>
      <c r="AP76" s="161">
        <f t="shared" si="37"/>
        <v>51.095658170793641</v>
      </c>
      <c r="AQ76" s="161">
        <f t="shared" si="38"/>
        <v>-94.59215607924294</v>
      </c>
      <c r="AR76" s="64">
        <f t="shared" si="39"/>
        <v>85.40784392075706</v>
      </c>
      <c r="AT76" s="135" t="str">
        <f t="shared" si="13"/>
        <v>-5461162.80727901i</v>
      </c>
      <c r="AU76" s="135" t="str">
        <f t="shared" si="14"/>
        <v>27456.1383070198-977507.753756301i</v>
      </c>
      <c r="AV76" s="135" t="str">
        <f t="shared" si="40"/>
        <v>19751.9235099917-829188.455842663i</v>
      </c>
      <c r="AW76" s="135" t="str">
        <f t="shared" si="15"/>
        <v>10000</v>
      </c>
      <c r="AX76" s="135" t="str">
        <f t="shared" si="16"/>
        <v>1789.92604368691-419751.095184816i</v>
      </c>
      <c r="AY76" s="135" t="str">
        <f t="shared" si="41"/>
        <v>9993.31371457167-238.04862056476i</v>
      </c>
      <c r="AZ76" s="135" t="str">
        <f t="shared" si="42"/>
        <v>3.95078601469947-82.8802137447175i</v>
      </c>
      <c r="BA76" s="182">
        <f t="shared" si="43"/>
        <v>82.974324586006745</v>
      </c>
      <c r="BB76" s="182">
        <f t="shared" si="44"/>
        <v>38.378874518445826</v>
      </c>
      <c r="BC76" s="182">
        <f t="shared" si="45"/>
        <v>-87.270854736581569</v>
      </c>
      <c r="BE76" s="135" t="str">
        <f t="shared" si="46"/>
        <v>-12.4303766923091-187.154701865682i</v>
      </c>
      <c r="BF76" s="161">
        <f t="shared" si="47"/>
        <v>187.56704586665808</v>
      </c>
      <c r="BG76" s="161">
        <f t="shared" si="48"/>
        <v>45.463130768768067</v>
      </c>
      <c r="BH76" s="161">
        <f t="shared" si="49"/>
        <v>-93.799870494949857</v>
      </c>
      <c r="BI76" s="64">
        <f t="shared" si="50"/>
        <v>86.200129505050143</v>
      </c>
      <c r="BS76" s="64">
        <v>1096.47819614318</v>
      </c>
      <c r="BT76" s="64">
        <v>10.874352916170301</v>
      </c>
      <c r="BU76" s="64">
        <v>-6.0663272355666003</v>
      </c>
      <c r="BV76" s="186">
        <v>912.01083935591225</v>
      </c>
      <c r="BW76" s="64">
        <v>10.632267471171325</v>
      </c>
      <c r="BX76" s="64">
        <v>-4.9326612461834269</v>
      </c>
      <c r="BZ76" s="64">
        <v>1096.47819614318</v>
      </c>
      <c r="CA76" s="64">
        <v>6.6881887991527504</v>
      </c>
      <c r="CB76" s="64">
        <v>-9.1426525821590605</v>
      </c>
      <c r="CC76" s="186">
        <v>912.01083935591225</v>
      </c>
      <c r="CD76" s="64">
        <v>6.986043099402246</v>
      </c>
      <c r="CE76" s="64">
        <v>-7.8218806666750798</v>
      </c>
      <c r="CG76" s="64">
        <v>1096.47819614318</v>
      </c>
      <c r="CH76" s="64">
        <v>10.496275535600301</v>
      </c>
      <c r="CI76" s="64">
        <v>-8.6619360728735408</v>
      </c>
      <c r="CJ76" s="64">
        <v>912.01083935591225</v>
      </c>
      <c r="CK76" s="64">
        <v>11.076393451539797</v>
      </c>
      <c r="CL76" s="64">
        <v>-7.584455788230982</v>
      </c>
      <c r="CN76" s="64">
        <v>1096.47819614318</v>
      </c>
      <c r="CO76" s="64">
        <v>7.1922389928318502</v>
      </c>
      <c r="CP76" s="64">
        <v>-9.8337784271805404</v>
      </c>
      <c r="CQ76" s="186">
        <v>912.01083935591225</v>
      </c>
      <c r="CR76" s="64">
        <v>7.0473019926884355</v>
      </c>
      <c r="CS76" s="64">
        <v>-8.0952273534257202</v>
      </c>
      <c r="CU76" s="64">
        <v>1096.47819614318</v>
      </c>
      <c r="CV76" s="64">
        <v>4.6886886701427404</v>
      </c>
      <c r="CW76" s="64">
        <v>-7.4414917031132601</v>
      </c>
      <c r="CX76" s="139">
        <v>912.01083935591225</v>
      </c>
      <c r="CY76" s="64">
        <v>4.9637476751594143</v>
      </c>
      <c r="CZ76" s="64">
        <v>-6.3476269531990264</v>
      </c>
    </row>
    <row r="77" spans="2:104">
      <c r="B77" s="135">
        <f t="shared" si="51"/>
        <v>3.0000000000000009</v>
      </c>
      <c r="C77" s="139">
        <f t="shared" si="17"/>
        <v>1000.0000000000024</v>
      </c>
      <c r="D77" s="139">
        <f t="shared" si="18"/>
        <v>6283.1853071796013</v>
      </c>
      <c r="E77" s="32" t="str">
        <f t="shared" si="19"/>
        <v>6283.1853071796i</v>
      </c>
      <c r="F77"/>
      <c r="G77" s="153" t="str">
        <f t="shared" si="0"/>
        <v>0.04+0.000443458479495568i</v>
      </c>
      <c r="H77" s="153" t="str">
        <f t="shared" si="1"/>
        <v>1+0.202908395191687i</v>
      </c>
      <c r="I77" t="str">
        <f t="shared" si="20"/>
        <v>0.0385046740605327-0.0073694631415061i</v>
      </c>
      <c r="J77"/>
      <c r="K77" t="str">
        <f t="shared" si="21"/>
        <v>0.04+0.000443458479495568i</v>
      </c>
      <c r="L77" t="str">
        <f t="shared" si="2"/>
        <v>5.43580907071529+1.10297129510725i</v>
      </c>
      <c r="M77" t="str">
        <f t="shared" si="22"/>
        <v>0.00708352216930716-0.00135572516356545i</v>
      </c>
      <c r="N77" s="153" t="str">
        <f t="shared" si="3"/>
        <v>0.0011+0.00138230076757951i</v>
      </c>
      <c r="O77" s="135" t="str">
        <f t="shared" si="4"/>
        <v>0.000242+0.000304106168867492i</v>
      </c>
      <c r="Q77" s="135" t="str">
        <f t="shared" si="5"/>
        <v>-0.0062831853071796i</v>
      </c>
      <c r="R77" s="135" t="str">
        <f t="shared" si="6"/>
        <v>-0.0000160000000000001</v>
      </c>
      <c r="S77" s="64" t="str">
        <f t="shared" si="23"/>
        <v>0.999984-0.0062831853071796i</v>
      </c>
      <c r="T77" s="135" t="str">
        <f t="shared" si="7"/>
        <v>0.00999984-0.000062831853071796i</v>
      </c>
      <c r="U77" s="64" t="str">
        <f t="shared" si="24"/>
        <v>0.0173253621693072-0.00111445084776975i</v>
      </c>
      <c r="W77" s="64" t="str">
        <f t="shared" si="25"/>
        <v>2.24053593339531-0.281234869635625i</v>
      </c>
      <c r="X77" s="172">
        <f t="shared" si="26"/>
        <v>2.2581174284643746</v>
      </c>
      <c r="Y77" s="188">
        <f t="shared" si="27"/>
        <v>7.074930454241688</v>
      </c>
      <c r="Z77" s="161">
        <f t="shared" si="28"/>
        <v>-7.1544203818326384</v>
      </c>
      <c r="AA77" s="161">
        <f t="shared" si="8"/>
        <v>-7.1544203818326384</v>
      </c>
      <c r="AB77" s="199"/>
      <c r="AC77" s="64" t="str">
        <f t="shared" si="9"/>
        <v>-15915494.3091895i</v>
      </c>
      <c r="AD77" s="64" t="str">
        <f t="shared" si="10"/>
        <v>22000-1591549.43091895i</v>
      </c>
      <c r="AE77" s="64" t="str">
        <f t="shared" si="29"/>
        <v>18181.7894702871-1446885.96692772i</v>
      </c>
      <c r="AF77" s="64" t="str">
        <f t="shared" si="11"/>
        <v>10000</v>
      </c>
      <c r="AG77" s="64" t="str">
        <f t="shared" si="12"/>
        <v>-408089.597671526i</v>
      </c>
      <c r="AH77" s="64" t="str">
        <f t="shared" si="30"/>
        <v>9993.99893612159-244.89717437409i</v>
      </c>
      <c r="AI77" s="64" t="str">
        <f t="shared" si="31"/>
        <v>5.3636894799689-144.644043267313i</v>
      </c>
      <c r="AJ77" s="161">
        <f t="shared" si="32"/>
        <v>144.74345725300969</v>
      </c>
      <c r="AK77" s="161">
        <f t="shared" si="33"/>
        <v>43.211978834084931</v>
      </c>
      <c r="AL77" s="161">
        <f t="shared" si="34"/>
        <v>-87.876331317489786</v>
      </c>
      <c r="AN77" s="64" t="str">
        <f t="shared" si="35"/>
        <v>-28.6614096364077-325.588633003666i</v>
      </c>
      <c r="AO77" s="161">
        <f t="shared" si="36"/>
        <v>326.84772347920961</v>
      </c>
      <c r="AP77" s="161">
        <f t="shared" si="37"/>
        <v>50.286909288326612</v>
      </c>
      <c r="AQ77" s="161">
        <f t="shared" si="38"/>
        <v>-95.030751699322408</v>
      </c>
      <c r="AR77" s="64">
        <f t="shared" si="39"/>
        <v>84.969248300677592</v>
      </c>
      <c r="AT77" s="135" t="str">
        <f t="shared" si="13"/>
        <v>-4980639.67572581i</v>
      </c>
      <c r="AU77" s="135" t="str">
        <f t="shared" si="14"/>
        <v>27456.1383070198-891497.666980195i</v>
      </c>
      <c r="AV77" s="135" t="str">
        <f t="shared" si="40"/>
        <v>19751.8508649589-756244.396436633i</v>
      </c>
      <c r="AW77" s="135" t="str">
        <f t="shared" si="15"/>
        <v>10000</v>
      </c>
      <c r="AX77" s="135" t="str">
        <f t="shared" si="16"/>
        <v>1789.92604368691-382817.548640066i</v>
      </c>
      <c r="AY77" s="135" t="str">
        <f t="shared" si="41"/>
        <v>9991.96259836693-260.973510707828i</v>
      </c>
      <c r="AZ77" s="135" t="str">
        <f t="shared" si="42"/>
        <v>3.9508526534305-75.582081209232i</v>
      </c>
      <c r="BA77" s="182">
        <f t="shared" si="43"/>
        <v>75.685270935685097</v>
      </c>
      <c r="BB77" s="182">
        <f t="shared" si="44"/>
        <v>37.580227398786363</v>
      </c>
      <c r="BC77" s="182">
        <f t="shared" si="45"/>
        <v>-87.007738591361743</v>
      </c>
      <c r="BE77" s="135" t="str">
        <f t="shared" si="46"/>
        <v>-12.4042894181063-170.455486401024i</v>
      </c>
      <c r="BF77" s="161">
        <f t="shared" si="47"/>
        <v>170.90622937791889</v>
      </c>
      <c r="BG77" s="161">
        <f t="shared" si="48"/>
        <v>44.655157853028058</v>
      </c>
      <c r="BH77" s="161">
        <f t="shared" si="49"/>
        <v>-94.162158973194337</v>
      </c>
      <c r="BI77" s="64">
        <f t="shared" si="50"/>
        <v>85.837841026805663</v>
      </c>
      <c r="BS77" s="64">
        <v>1202.26443461741</v>
      </c>
      <c r="BT77" s="64">
        <v>10.8702383999702</v>
      </c>
      <c r="BU77" s="64">
        <v>-6.6515763471900504</v>
      </c>
      <c r="BV77" s="186">
        <v>1000.0000000000024</v>
      </c>
      <c r="BW77" s="64">
        <v>10.629883343978985</v>
      </c>
      <c r="BX77" s="64">
        <v>-5.4088133172045616</v>
      </c>
      <c r="BZ77" s="64">
        <v>1202.26443461741</v>
      </c>
      <c r="CA77" s="64">
        <v>6.6683810076583097</v>
      </c>
      <c r="CB77" s="64">
        <v>-10.010356776127299</v>
      </c>
      <c r="CC77" s="186">
        <v>1000.0000000000024</v>
      </c>
      <c r="CD77" s="64">
        <v>6.971281726739333</v>
      </c>
      <c r="CE77" s="64">
        <v>-8.5672775498344134</v>
      </c>
      <c r="CG77" s="64">
        <v>1202.26443461741</v>
      </c>
      <c r="CH77" s="64">
        <v>10.5069293893132</v>
      </c>
      <c r="CI77" s="64">
        <v>-9.5171514546649991</v>
      </c>
      <c r="CJ77" s="64">
        <v>1000.0000000000024</v>
      </c>
      <c r="CK77" s="64">
        <v>11.082151226570716</v>
      </c>
      <c r="CL77" s="64">
        <v>-8.3268110064491854</v>
      </c>
      <c r="CN77" s="64">
        <v>1202.26443461741</v>
      </c>
      <c r="CO77" s="64">
        <v>7.1705071666727598</v>
      </c>
      <c r="CP77" s="64">
        <v>-10.766190962090301</v>
      </c>
      <c r="CQ77" s="186">
        <v>1000.0000000000024</v>
      </c>
      <c r="CR77" s="64">
        <v>7.03285802509156</v>
      </c>
      <c r="CS77" s="64">
        <v>-8.8674708481512994</v>
      </c>
      <c r="CU77" s="64">
        <v>1202.26443461741</v>
      </c>
      <c r="CV77" s="64">
        <v>4.6763652193424097</v>
      </c>
      <c r="CW77" s="64">
        <v>-8.1524693955499696</v>
      </c>
      <c r="CX77" s="139">
        <v>1000.0000000000024</v>
      </c>
      <c r="CY77" s="64">
        <v>4.9545932393851269</v>
      </c>
      <c r="CZ77" s="64">
        <v>-6.9555686023148278</v>
      </c>
    </row>
    <row r="78" spans="2:104">
      <c r="B78" s="135">
        <f>1+B53</f>
        <v>3.04</v>
      </c>
      <c r="C78" s="139">
        <f t="shared" si="17"/>
        <v>1096.4781961431863</v>
      </c>
      <c r="D78" s="139">
        <f t="shared" si="18"/>
        <v>6889.375691649645</v>
      </c>
      <c r="E78" s="32" t="str">
        <f t="shared" si="19"/>
        <v>6889.37569164964i</v>
      </c>
      <c r="F78"/>
      <c r="G78" s="153" t="str">
        <f t="shared" si="0"/>
        <v>0.04+0.00048623362571268i</v>
      </c>
      <c r="H78" s="153" t="str">
        <f t="shared" si="1"/>
        <v>1+0.222481912318479i</v>
      </c>
      <c r="I78" t="str">
        <f t="shared" ref="I78:I141" si="52">IMDIV(G78,H78)</f>
        <v>0.0382165287533232-0.00801625277350081i</v>
      </c>
      <c r="J78"/>
      <c r="K78" t="str">
        <f t="shared" ref="K78:K141" si="53">G78</f>
        <v>0.04+0.00048623362571268i</v>
      </c>
      <c r="L78" t="str">
        <f t="shared" si="2"/>
        <v>5.43580907071529+1.20936919705087i</v>
      </c>
      <c r="M78" t="str">
        <f t="shared" ref="M78:M141" si="54">IMDIV(K78,L78)</f>
        <v>0.00703051344448608-0.00147471198292952i</v>
      </c>
      <c r="N78" s="153" t="str">
        <f t="shared" si="3"/>
        <v>0.0011+0.00151566265216292i</v>
      </c>
      <c r="O78" s="135" t="str">
        <f t="shared" si="4"/>
        <v>0.000242+0.000333445783475842i</v>
      </c>
      <c r="Q78" s="135" t="str">
        <f t="shared" si="5"/>
        <v>-0.00688937569164964i</v>
      </c>
      <c r="R78" s="135" t="str">
        <f t="shared" si="6"/>
        <v>-0.0000192362309538786</v>
      </c>
      <c r="S78" s="64" t="str">
        <f t="shared" ref="S78:S141" si="55">IMSUM(1,Q78,R78)</f>
        <v>0.999980763769046-0.00688937569164964i</v>
      </c>
      <c r="T78" s="135" t="str">
        <f t="shared" si="7"/>
        <v>0.00999980763769046-0.0000688937569164964i</v>
      </c>
      <c r="U78" s="64" t="str">
        <f t="shared" ref="U78:U141" si="56">IMSUM(T78,O78,M78)</f>
        <v>0.0172723210821765-0.00121015995637017i</v>
      </c>
      <c r="W78" s="64" t="str">
        <f t="shared" ref="W78:W141" si="57">IMDIV(I78,U78)</f>
        <v>2.23413792086837-0.307578147683922i</v>
      </c>
      <c r="X78" s="172">
        <f t="shared" si="26"/>
        <v>2.2552109804616318</v>
      </c>
      <c r="Y78" s="188">
        <f t="shared" si="27"/>
        <v>7.0637435483518516</v>
      </c>
      <c r="Z78" s="161">
        <f t="shared" si="28"/>
        <v>-7.8387460792565165</v>
      </c>
      <c r="AA78" s="161">
        <f t="shared" si="8"/>
        <v>-7.8387460792565165</v>
      </c>
      <c r="AB78" s="199"/>
      <c r="AC78" s="64" t="str">
        <f t="shared" si="9"/>
        <v>-14515103.3236881i</v>
      </c>
      <c r="AD78" s="64" t="str">
        <f t="shared" si="10"/>
        <v>22000-1451510.33236881i</v>
      </c>
      <c r="AE78" s="64" t="str">
        <f t="shared" si="29"/>
        <v>18181.7836629765-1319579.89983569i</v>
      </c>
      <c r="AF78" s="64" t="str">
        <f t="shared" si="11"/>
        <v>10000</v>
      </c>
      <c r="AG78" s="64" t="str">
        <f t="shared" si="12"/>
        <v>-372182.136504824i</v>
      </c>
      <c r="AH78" s="64" t="str">
        <f t="shared" si="30"/>
        <v>9992.78600996453-268.491822412734i</v>
      </c>
      <c r="AI78" s="64" t="str">
        <f t="shared" si="31"/>
        <v>5.36370022349346-131.909138139593i</v>
      </c>
      <c r="AJ78" s="161">
        <f t="shared" si="32"/>
        <v>132.01814271083251</v>
      </c>
      <c r="AK78" s="161">
        <f t="shared" si="33"/>
        <v>42.412672372263671</v>
      </c>
      <c r="AL78" s="161">
        <f t="shared" si="34"/>
        <v>-87.671517044393639</v>
      </c>
      <c r="AN78" s="64" t="str">
        <f t="shared" si="35"/>
        <v>-28.5891223060817-296.352964606203i</v>
      </c>
      <c r="AO78" s="161">
        <f t="shared" si="36"/>
        <v>297.72876506162032</v>
      </c>
      <c r="AP78" s="161">
        <f t="shared" si="37"/>
        <v>49.476415920615523</v>
      </c>
      <c r="AQ78" s="161">
        <f t="shared" si="38"/>
        <v>-95.510263123650148</v>
      </c>
      <c r="AR78" s="64">
        <f t="shared" si="39"/>
        <v>84.489736876349852</v>
      </c>
      <c r="AT78" s="135" t="str">
        <f t="shared" si="13"/>
        <v>-4542397.37118804i</v>
      </c>
      <c r="AU78" s="135" t="str">
        <f t="shared" si="14"/>
        <v>27456.1383070198-813055.535546444i</v>
      </c>
      <c r="AV78" s="135" t="str">
        <f t="shared" si="40"/>
        <v>19751.7635271271-689720.122419964i</v>
      </c>
      <c r="AW78" s="135" t="str">
        <f t="shared" si="15"/>
        <v>10000</v>
      </c>
      <c r="AX78" s="135" t="str">
        <f t="shared" si="16"/>
        <v>1789.92604368691-349133.753855399i</v>
      </c>
      <c r="AY78" s="135" t="str">
        <f t="shared" si="41"/>
        <v>9990.33876960432-286.096929056919i</v>
      </c>
      <c r="AZ78" s="135" t="str">
        <f t="shared" si="42"/>
        <v>3.95093276936746-68.9255678478869i</v>
      </c>
      <c r="BA78" s="182">
        <f t="shared" si="43"/>
        <v>69.0387121324096</v>
      </c>
      <c r="BB78" s="182">
        <f t="shared" si="44"/>
        <v>36.781853626621427</v>
      </c>
      <c r="BC78" s="182">
        <f t="shared" si="45"/>
        <v>-86.71929689462894</v>
      </c>
      <c r="BE78" s="135" t="str">
        <f t="shared" si="46"/>
        <v>-12.3730697638702-155.204445429176i</v>
      </c>
      <c r="BF78" s="161">
        <f t="shared" si="47"/>
        <v>155.69686167794026</v>
      </c>
      <c r="BG78" s="161">
        <f t="shared" si="48"/>
        <v>43.845597174973307</v>
      </c>
      <c r="BH78" s="161">
        <f t="shared" si="49"/>
        <v>-94.558042973885435</v>
      </c>
      <c r="BI78" s="64">
        <f t="shared" si="50"/>
        <v>85.441957026114565</v>
      </c>
      <c r="BS78" s="64">
        <v>1318.2567385564</v>
      </c>
      <c r="BT78" s="64">
        <v>10.865285630923101</v>
      </c>
      <c r="BU78" s="64">
        <v>-7.2932781090425696</v>
      </c>
      <c r="BV78" s="186">
        <v>1096.4781961431863</v>
      </c>
      <c r="BW78" s="64">
        <v>10.627012929721975</v>
      </c>
      <c r="BX78" s="64">
        <v>-5.930983343589511</v>
      </c>
      <c r="BZ78" s="64">
        <v>1318.2567385564</v>
      </c>
      <c r="CA78" s="64">
        <v>6.6446847838031298</v>
      </c>
      <c r="CB78" s="64">
        <v>-10.9573176857975</v>
      </c>
      <c r="CC78" s="186">
        <v>1096.4781961431863</v>
      </c>
      <c r="CD78" s="64">
        <v>6.9536004908487135</v>
      </c>
      <c r="CE78" s="64">
        <v>-9.381701424021081</v>
      </c>
      <c r="CG78" s="64">
        <v>1318.2567385564</v>
      </c>
      <c r="CH78" s="64">
        <v>10.519621402975501</v>
      </c>
      <c r="CI78" s="64">
        <v>-10.461100802816199</v>
      </c>
      <c r="CJ78" s="64">
        <v>1096.4781961431863</v>
      </c>
      <c r="CK78" s="64">
        <v>11.089013512342188</v>
      </c>
      <c r="CL78" s="64">
        <v>-9.1441623191032253</v>
      </c>
      <c r="CN78" s="64">
        <v>1318.2567385564</v>
      </c>
      <c r="CO78" s="64">
        <v>7.1445193066795198</v>
      </c>
      <c r="CP78" s="64">
        <v>-11.783502591323201</v>
      </c>
      <c r="CQ78" s="186">
        <v>1096.4781961431863</v>
      </c>
      <c r="CR78" s="64">
        <v>7.0155537188185813</v>
      </c>
      <c r="CS78" s="64">
        <v>-9.7114776610099671</v>
      </c>
      <c r="CU78" s="64">
        <v>1318.2567385564</v>
      </c>
      <c r="CV78" s="64">
        <v>4.6615943327211298</v>
      </c>
      <c r="CW78" s="64">
        <v>-8.9298585198176497</v>
      </c>
      <c r="CX78" s="139">
        <v>1096.4781961431863</v>
      </c>
      <c r="CY78" s="64">
        <v>4.943612229382782</v>
      </c>
      <c r="CZ78" s="64">
        <v>-7.6207582573054164</v>
      </c>
    </row>
    <row r="79" spans="2:104">
      <c r="B79" s="135">
        <f t="shared" ref="B79:B142" si="58">1+B54</f>
        <v>3.08</v>
      </c>
      <c r="C79" s="139">
        <f t="shared" si="17"/>
        <v>1202.2644346174138</v>
      </c>
      <c r="D79" s="139">
        <f t="shared" si="18"/>
        <v>7554.0502309327067</v>
      </c>
      <c r="E79" s="32" t="str">
        <f t="shared" si="19"/>
        <v>7554.05023093271i</v>
      </c>
      <c r="F79"/>
      <c r="G79" s="153" t="str">
        <f t="shared" si="0"/>
        <v>0.04+0.000533132799984336i</v>
      </c>
      <c r="H79" s="153" t="str">
        <f t="shared" si="1"/>
        <v>1+0.243942981935371i</v>
      </c>
      <c r="I79" t="str">
        <f t="shared" si="52"/>
        <v>0.0378761153729385-0.00870647972821844i</v>
      </c>
      <c r="J79"/>
      <c r="K79" t="str">
        <f t="shared" si="53"/>
        <v>0.04+0.000533132799984336i</v>
      </c>
      <c r="L79" t="str">
        <f t="shared" si="2"/>
        <v>5.43580907071529+1.32602747394162i</v>
      </c>
      <c r="M79" t="str">
        <f t="shared" si="54"/>
        <v>0.00696788921027252-0.00160168976043022i</v>
      </c>
      <c r="N79" s="153" t="str">
        <f t="shared" si="3"/>
        <v>0.0011+0.0016618910508052i</v>
      </c>
      <c r="O79" s="135" t="str">
        <f t="shared" si="4"/>
        <v>0.000242+0.000365616031177144i</v>
      </c>
      <c r="Q79" s="135" t="str">
        <f t="shared" si="5"/>
        <v>-0.00755405023093271i</v>
      </c>
      <c r="R79" s="135" t="str">
        <f t="shared" si="6"/>
        <v>-0.0000231270363319349</v>
      </c>
      <c r="S79" s="64" t="str">
        <f t="shared" si="55"/>
        <v>0.999976872963668-0.00755405023093271i</v>
      </c>
      <c r="T79" s="135" t="str">
        <f t="shared" si="7"/>
        <v>0.00999976872963668-0.0000755405023093271i</v>
      </c>
      <c r="U79" s="64" t="str">
        <f t="shared" si="56"/>
        <v>0.0172096579399092-0.0013116142315624i</v>
      </c>
      <c r="W79" s="64" t="str">
        <f t="shared" si="57"/>
        <v>2.22648834704988-0.336217369689946i</v>
      </c>
      <c r="X79" s="172">
        <f t="shared" si="26"/>
        <v>2.2517309961960672</v>
      </c>
      <c r="Y79" s="188">
        <f t="shared" si="27"/>
        <v>7.0503301228245228</v>
      </c>
      <c r="Z79" s="161">
        <f t="shared" si="28"/>
        <v>-8.5872359179297479</v>
      </c>
      <c r="AA79" s="161">
        <f t="shared" si="8"/>
        <v>-8.5872359179297479</v>
      </c>
      <c r="AB79" s="199"/>
      <c r="AC79" s="64" t="str">
        <f t="shared" si="9"/>
        <v>-13237931.5655746i</v>
      </c>
      <c r="AD79" s="64" t="str">
        <f t="shared" si="10"/>
        <v>22000-1323793.15655746i</v>
      </c>
      <c r="AE79" s="64" t="str">
        <f t="shared" si="29"/>
        <v>18181.7766810584-1203475.79335401i</v>
      </c>
      <c r="AF79" s="64" t="str">
        <f t="shared" si="11"/>
        <v>10000</v>
      </c>
      <c r="AG79" s="64" t="str">
        <f t="shared" si="12"/>
        <v>-339434.14270704i</v>
      </c>
      <c r="AH79" s="64" t="str">
        <f t="shared" si="30"/>
        <v>9991.32814168866-294.352479158586i</v>
      </c>
      <c r="AI79" s="64" t="str">
        <f t="shared" si="31"/>
        <v>5.36371314004188-120.29401437421i</v>
      </c>
      <c r="AJ79" s="161">
        <f t="shared" si="32"/>
        <v>120.41353459188589</v>
      </c>
      <c r="AK79" s="161">
        <f t="shared" si="33"/>
        <v>41.613506095282006</v>
      </c>
      <c r="AL79" s="161">
        <f t="shared" si="34"/>
        <v>-87.446966021915401</v>
      </c>
      <c r="AN79" s="64" t="str">
        <f t="shared" si="35"/>
        <v>-28.5026922991199-269.636594747746i</v>
      </c>
      <c r="AO79" s="161">
        <f t="shared" si="36"/>
        <v>271.13888820207723</v>
      </c>
      <c r="AP79" s="161">
        <f t="shared" si="37"/>
        <v>48.663836218106546</v>
      </c>
      <c r="AQ79" s="161">
        <f t="shared" si="38"/>
        <v>-96.034201939845147</v>
      </c>
      <c r="AR79" s="64">
        <f t="shared" si="39"/>
        <v>83.965798060154853</v>
      </c>
      <c r="AT79" s="135" t="str">
        <f t="shared" si="13"/>
        <v>-4142715.63918529i</v>
      </c>
      <c r="AU79" s="135" t="str">
        <f t="shared" si="14"/>
        <v>27456.1383070198-741515.461416681i</v>
      </c>
      <c r="AV79" s="135" t="str">
        <f t="shared" si="40"/>
        <v>19751.6585249805-629050.906825061i</v>
      </c>
      <c r="AW79" s="135" t="str">
        <f t="shared" si="15"/>
        <v>10000</v>
      </c>
      <c r="AX79" s="135" t="str">
        <f t="shared" si="16"/>
        <v>1789.92604368691-318413.767901142i</v>
      </c>
      <c r="AY79" s="135" t="str">
        <f t="shared" si="41"/>
        <v>9988.387321742-313.626788315176i</v>
      </c>
      <c r="AZ79" s="135" t="str">
        <f t="shared" si="42"/>
        <v>3.95102908782866-62.8541663472671i</v>
      </c>
      <c r="BA79" s="182">
        <f t="shared" si="43"/>
        <v>62.97822526923725</v>
      </c>
      <c r="BB79" s="182">
        <f t="shared" si="44"/>
        <v>35.983808360485895</v>
      </c>
      <c r="BC79" s="182">
        <f t="shared" si="45"/>
        <v>-86.403105163111178</v>
      </c>
      <c r="BE79" s="135" t="str">
        <f t="shared" si="46"/>
        <v>-12.3357422604268-141.272473543203i</v>
      </c>
      <c r="BF79" s="161">
        <f t="shared" si="47"/>
        <v>141.81002192415977</v>
      </c>
      <c r="BG79" s="161">
        <f t="shared" si="48"/>
        <v>43.0341384833104</v>
      </c>
      <c r="BH79" s="161">
        <f t="shared" si="49"/>
        <v>-94.990341081040896</v>
      </c>
      <c r="BI79" s="64">
        <f t="shared" si="50"/>
        <v>85.009658918959104</v>
      </c>
      <c r="BS79" s="64">
        <v>1445.43977074592</v>
      </c>
      <c r="BT79" s="64">
        <v>10.8593224220448</v>
      </c>
      <c r="BU79" s="64">
        <v>-7.9968725182715197</v>
      </c>
      <c r="BV79" s="186">
        <v>1202.2644346174138</v>
      </c>
      <c r="BW79" s="64">
        <v>10.623556077131997</v>
      </c>
      <c r="BX79" s="64">
        <v>-6.5036350169553501</v>
      </c>
      <c r="BZ79" s="64">
        <v>1445.43977074592</v>
      </c>
      <c r="CA79" s="64">
        <v>6.6163643265570604</v>
      </c>
      <c r="CB79" s="64">
        <v>-11.989827190472999</v>
      </c>
      <c r="CC79" s="186">
        <v>1202.2644346174138</v>
      </c>
      <c r="CD79" s="64">
        <v>6.9324373558310555</v>
      </c>
      <c r="CE79" s="64">
        <v>-10.270923982712304</v>
      </c>
      <c r="CG79" s="64">
        <v>1445.43977074592</v>
      </c>
      <c r="CH79" s="64">
        <v>10.5347101976392</v>
      </c>
      <c r="CI79" s="64">
        <v>-11.5043298210944</v>
      </c>
      <c r="CJ79" s="64">
        <v>1202.2644346174138</v>
      </c>
      <c r="CK79" s="64">
        <v>11.097176508859206</v>
      </c>
      <c r="CL79" s="64">
        <v>-10.044815867396354</v>
      </c>
      <c r="CN79" s="64">
        <v>1445.43977074592</v>
      </c>
      <c r="CO79" s="64">
        <v>7.1134743337762201</v>
      </c>
      <c r="CP79" s="64">
        <v>-12.892373196399101</v>
      </c>
      <c r="CQ79" s="186">
        <v>1202.2644346174138</v>
      </c>
      <c r="CR79" s="64">
        <v>6.9948370770346724</v>
      </c>
      <c r="CS79" s="64">
        <v>-10.633327279138772</v>
      </c>
      <c r="CU79" s="64">
        <v>1445.43977074592</v>
      </c>
      <c r="CV79" s="64">
        <v>4.6439006546961101</v>
      </c>
      <c r="CW79" s="64">
        <v>-9.7793912167014394</v>
      </c>
      <c r="CX79" s="139">
        <v>1202.2644346174138</v>
      </c>
      <c r="CY79" s="64">
        <v>4.9304461661441854</v>
      </c>
      <c r="CZ79" s="64">
        <v>-8.3482812597880347</v>
      </c>
    </row>
    <row r="80" spans="2:104">
      <c r="B80" s="135">
        <f t="shared" si="58"/>
        <v>3.12</v>
      </c>
      <c r="C80" s="139">
        <f t="shared" si="17"/>
        <v>1318.2567385564089</v>
      </c>
      <c r="D80" s="139">
        <f t="shared" si="18"/>
        <v>8282.8513707881102</v>
      </c>
      <c r="E80" s="32" t="str">
        <f t="shared" si="19"/>
        <v>8282.85137078811i</v>
      </c>
      <c r="F80"/>
      <c r="G80" s="153" t="str">
        <f t="shared" si="0"/>
        <v>0.04+0.000584552977250188i</v>
      </c>
      <c r="H80" s="153" t="str">
        <f t="shared" si="1"/>
        <v>1+0.267473436454262i</v>
      </c>
      <c r="I80" t="str">
        <f t="shared" si="52"/>
        <v>0.0374752934782388-0.00943909255150633i</v>
      </c>
      <c r="J80"/>
      <c r="K80" t="str">
        <f t="shared" si="53"/>
        <v>0.04+0.000584552977250188i</v>
      </c>
      <c r="L80" t="str">
        <f t="shared" si="2"/>
        <v>5.43580907071529+1.45393453205347i</v>
      </c>
      <c r="M80" t="str">
        <f t="shared" si="54"/>
        <v>0.00689415190833909-0.00173646506503663i</v>
      </c>
      <c r="N80" s="153" t="str">
        <f t="shared" si="3"/>
        <v>0.0011+0.00182222730157338i</v>
      </c>
      <c r="O80" s="135" t="str">
        <f t="shared" si="4"/>
        <v>0.000242+0.000400890006346144i</v>
      </c>
      <c r="Q80" s="135" t="str">
        <f t="shared" si="5"/>
        <v>-0.00828285137078811i</v>
      </c>
      <c r="R80" s="135" t="str">
        <f t="shared" si="6"/>
        <v>-0.0000278048132599901</v>
      </c>
      <c r="S80" s="64" t="str">
        <f t="shared" si="55"/>
        <v>0.99997219518674-0.00828285137078811i</v>
      </c>
      <c r="T80" s="135" t="str">
        <f t="shared" si="7"/>
        <v>0.0099997219518674-0.0000828285137078811i</v>
      </c>
      <c r="U80" s="64" t="str">
        <f t="shared" si="56"/>
        <v>0.0171358738602065-0.00141840357239837i</v>
      </c>
      <c r="W80" s="64" t="str">
        <f t="shared" si="57"/>
        <v>2.21735245109513-0.367299150597907i</v>
      </c>
      <c r="X80" s="172">
        <f t="shared" si="26"/>
        <v>2.2475676982924284</v>
      </c>
      <c r="Y80" s="188">
        <f t="shared" si="27"/>
        <v>7.0342556370445255</v>
      </c>
      <c r="Z80" s="161">
        <f t="shared" si="28"/>
        <v>-9.4055036517139321</v>
      </c>
      <c r="AA80" s="161">
        <f t="shared" si="8"/>
        <v>-9.4055036517139321</v>
      </c>
      <c r="AB80" s="199"/>
      <c r="AC80" s="64" t="str">
        <f t="shared" si="9"/>
        <v>-12073137.0784558i</v>
      </c>
      <c r="AD80" s="64" t="str">
        <f t="shared" si="10"/>
        <v>22000-1207313.70784558i</v>
      </c>
      <c r="AE80" s="64" t="str">
        <f t="shared" si="29"/>
        <v>18181.7682869538-1097588.03560013i</v>
      </c>
      <c r="AF80" s="64" t="str">
        <f t="shared" si="11"/>
        <v>10000</v>
      </c>
      <c r="AG80" s="64" t="str">
        <f t="shared" si="12"/>
        <v>-309567.617396301i</v>
      </c>
      <c r="AH80" s="64" t="str">
        <f t="shared" si="30"/>
        <v>9989.57596155546-322.694474492371i</v>
      </c>
      <c r="AI80" s="64" t="str">
        <f t="shared" si="31"/>
        <v>5.36372866913554-109.700070775105i</v>
      </c>
      <c r="AJ80" s="161">
        <f t="shared" si="32"/>
        <v>109.8311208779149</v>
      </c>
      <c r="AK80" s="161">
        <f t="shared" si="33"/>
        <v>40.814508316039053</v>
      </c>
      <c r="AL80" s="161">
        <f t="shared" si="34"/>
        <v>-87.200781511130828</v>
      </c>
      <c r="AN80" s="64" t="str">
        <f t="shared" si="35"/>
        <v>-28.3994659047094-245.213813802699i</v>
      </c>
      <c r="AO80" s="161">
        <f t="shared" si="36"/>
        <v>246.85287955245221</v>
      </c>
      <c r="AP80" s="161">
        <f t="shared" si="37"/>
        <v>47.848763953083555</v>
      </c>
      <c r="AQ80" s="161">
        <f t="shared" si="38"/>
        <v>-96.606285162844756</v>
      </c>
      <c r="AR80" s="64">
        <f t="shared" si="39"/>
        <v>83.393714837155244</v>
      </c>
      <c r="AT80" s="135" t="str">
        <f t="shared" si="13"/>
        <v>-3778201.56730623i</v>
      </c>
      <c r="AU80" s="135" t="str">
        <f t="shared" si="14"/>
        <v>27456.1383070198-676270.138362012i</v>
      </c>
      <c r="AV80" s="135" t="str">
        <f t="shared" si="40"/>
        <v>19751.5322861123-573721.726469152i</v>
      </c>
      <c r="AW80" s="135" t="str">
        <f t="shared" si="15"/>
        <v>10000</v>
      </c>
      <c r="AX80" s="135" t="str">
        <f t="shared" si="16"/>
        <v>1789.92604368691-290396.807725998i</v>
      </c>
      <c r="AY80" s="135" t="str">
        <f t="shared" si="41"/>
        <v>9986.04235516797-343.789730959733i</v>
      </c>
      <c r="AZ80" s="135" t="str">
        <f t="shared" si="42"/>
        <v>3.95114488508195-57.3163364499368i</v>
      </c>
      <c r="BA80" s="182">
        <f t="shared" si="43"/>
        <v>57.452362614128077</v>
      </c>
      <c r="BB80" s="182">
        <f t="shared" si="44"/>
        <v>35.186157857764009</v>
      </c>
      <c r="BC80" s="182">
        <f t="shared" si="45"/>
        <v>-86.056510994770875</v>
      </c>
      <c r="BE80" s="135" t="str">
        <f t="shared" si="46"/>
        <v>-12.2911608978772-128.54177127524i</v>
      </c>
      <c r="BF80" s="161">
        <f t="shared" si="47"/>
        <v>129.12807440209747</v>
      </c>
      <c r="BG80" s="161">
        <f t="shared" si="48"/>
        <v>42.220413494808511</v>
      </c>
      <c r="BH80" s="161">
        <f t="shared" si="49"/>
        <v>-95.462014646484818</v>
      </c>
      <c r="BI80" s="64">
        <f t="shared" si="50"/>
        <v>84.537985353515182</v>
      </c>
      <c r="BS80" s="64">
        <v>1584.8931924611099</v>
      </c>
      <c r="BT80" s="64">
        <v>10.852140619721601</v>
      </c>
      <c r="BU80" s="64">
        <v>-8.7683206788945096</v>
      </c>
      <c r="BV80" s="186">
        <v>1318.2567385564089</v>
      </c>
      <c r="BW80" s="64">
        <v>10.619391591956067</v>
      </c>
      <c r="BX80" s="64">
        <v>-7.1316694958091897</v>
      </c>
      <c r="BZ80" s="64">
        <v>1584.8931924611099</v>
      </c>
      <c r="CA80" s="64">
        <v>6.5825562724543198</v>
      </c>
      <c r="CB80" s="64">
        <v>-13.1143887129404</v>
      </c>
      <c r="CC80" s="186">
        <v>1318.2567385564089</v>
      </c>
      <c r="CD80" s="64">
        <v>6.9071287668090866</v>
      </c>
      <c r="CE80" s="64">
        <v>-11.241008692858188</v>
      </c>
      <c r="CG80" s="64">
        <v>1584.8931924611099</v>
      </c>
      <c r="CH80" s="64">
        <v>10.5526018532001</v>
      </c>
      <c r="CI80" s="64">
        <v>-12.659033979512101</v>
      </c>
      <c r="CJ80" s="64">
        <v>1318.2567385564089</v>
      </c>
      <c r="CK80" s="64">
        <v>11.106863663343782</v>
      </c>
      <c r="CL80" s="64">
        <v>-11.03821741900453</v>
      </c>
      <c r="CN80" s="64">
        <v>1584.8931924611099</v>
      </c>
      <c r="CO80" s="64">
        <v>7.0764340771539596</v>
      </c>
      <c r="CP80" s="64">
        <v>-14.0996616024595</v>
      </c>
      <c r="CQ80" s="186">
        <v>1318.2567385564089</v>
      </c>
      <c r="CR80" s="64">
        <v>6.9700557812151072</v>
      </c>
      <c r="CS80" s="64">
        <v>-11.639433077592505</v>
      </c>
      <c r="CU80" s="64">
        <v>1584.8931924611099</v>
      </c>
      <c r="CV80" s="64">
        <v>4.6227211277746196</v>
      </c>
      <c r="CW80" s="64">
        <v>-10.7071488270019</v>
      </c>
      <c r="CX80" s="139">
        <v>1318.2567385564089</v>
      </c>
      <c r="CY80" s="64">
        <v>4.9146688181485674</v>
      </c>
      <c r="CZ80" s="64">
        <v>-9.1435795701017337</v>
      </c>
    </row>
    <row r="81" spans="2:104">
      <c r="B81" s="135">
        <f t="shared" si="58"/>
        <v>3.16</v>
      </c>
      <c r="C81" s="139">
        <f t="shared" si="17"/>
        <v>1445.4397707459289</v>
      </c>
      <c r="D81" s="139">
        <f t="shared" si="18"/>
        <v>9081.9659299638497</v>
      </c>
      <c r="E81" s="32" t="str">
        <f t="shared" si="19"/>
        <v>9081.96592996385i</v>
      </c>
      <c r="F81"/>
      <c r="G81" s="153" t="str">
        <f t="shared" si="0"/>
        <v>0.04+0.00064092914438704i</v>
      </c>
      <c r="H81" s="153" t="str">
        <f t="shared" si="1"/>
        <v>1+0.293272563601897i</v>
      </c>
      <c r="I81" t="str">
        <f t="shared" si="52"/>
        <v>0.0370051946729153-0.0102116791639261i</v>
      </c>
      <c r="J81"/>
      <c r="K81" t="str">
        <f t="shared" si="53"/>
        <v>0.04+0.00064092914438704i</v>
      </c>
      <c r="L81" t="str">
        <f t="shared" si="2"/>
        <v>5.43580907071529+1.59417366141912i</v>
      </c>
      <c r="M81" t="str">
        <f t="shared" si="54"/>
        <v>0.00680767006190044-0.00187859415794057i</v>
      </c>
      <c r="N81" s="153" t="str">
        <f t="shared" si="3"/>
        <v>0.0011+0.00199803250459205i</v>
      </c>
      <c r="O81" s="135" t="str">
        <f t="shared" si="4"/>
        <v>0.000242+0.000439567151010251i</v>
      </c>
      <c r="Q81" s="135" t="str">
        <f t="shared" si="5"/>
        <v>-0.00908196592996385i</v>
      </c>
      <c r="R81" s="135" t="str">
        <f t="shared" si="6"/>
        <v>-0.0000334287380936647</v>
      </c>
      <c r="S81" s="64" t="str">
        <f t="shared" si="55"/>
        <v>0.999966571261906-0.00908196592996385i</v>
      </c>
      <c r="T81" s="135" t="str">
        <f t="shared" si="7"/>
        <v>0.00999966571261906-0.0000908196592996385i</v>
      </c>
      <c r="U81" s="64" t="str">
        <f t="shared" si="56"/>
        <v>0.0170493357745195-0.00152984666622996i</v>
      </c>
      <c r="W81" s="64" t="str">
        <f t="shared" si="57"/>
        <v>2.2064557788085-0.400962256649834i</v>
      </c>
      <c r="X81" s="172">
        <f t="shared" si="26"/>
        <v>2.242591767374337</v>
      </c>
      <c r="Y81" s="188">
        <f t="shared" si="27"/>
        <v>7.0150044702098926</v>
      </c>
      <c r="Z81" s="161">
        <f t="shared" si="28"/>
        <v>-10.299529498560855</v>
      </c>
      <c r="AA81" s="161">
        <f t="shared" si="8"/>
        <v>-10.299529498560855</v>
      </c>
      <c r="AB81" s="199"/>
      <c r="AC81" s="64" t="str">
        <f t="shared" si="9"/>
        <v>-11010831.8805814i</v>
      </c>
      <c r="AD81" s="64" t="str">
        <f t="shared" si="10"/>
        <v>22000-1101083.18805814i</v>
      </c>
      <c r="AE81" s="64" t="str">
        <f t="shared" si="29"/>
        <v>18181.7581950306-1001017.74163819i</v>
      </c>
      <c r="AF81" s="64" t="str">
        <f t="shared" si="11"/>
        <v>10000</v>
      </c>
      <c r="AG81" s="64" t="str">
        <f t="shared" si="12"/>
        <v>-282329.02257901i</v>
      </c>
      <c r="AH81" s="64" t="str">
        <f t="shared" si="30"/>
        <v>9987.47019111329-353.75286960866i</v>
      </c>
      <c r="AI81" s="64" t="str">
        <f t="shared" si="31"/>
        <v>5.36374733919355-100.037374981514i</v>
      </c>
      <c r="AJ81" s="161">
        <f t="shared" si="32"/>
        <v>100.18106696732048</v>
      </c>
      <c r="AK81" s="161">
        <f t="shared" si="33"/>
        <v>40.015713055664854</v>
      </c>
      <c r="AL81" s="161">
        <f t="shared" si="34"/>
        <v>-86.930886138124649</v>
      </c>
      <c r="AN81" s="64" t="str">
        <f t="shared" si="35"/>
        <v>-28.2763403092812-222.878704362017i</v>
      </c>
      <c r="AO81" s="161">
        <f t="shared" si="36"/>
        <v>224.66523602769001</v>
      </c>
      <c r="AP81" s="161">
        <f t="shared" si="37"/>
        <v>47.030717525874749</v>
      </c>
      <c r="AQ81" s="161">
        <f t="shared" si="38"/>
        <v>-97.230415636685507</v>
      </c>
      <c r="AR81" s="64">
        <f t="shared" si="39"/>
        <v>82.769584363314493</v>
      </c>
      <c r="AT81" s="135" t="str">
        <f t="shared" si="13"/>
        <v>-3445760.78265477i</v>
      </c>
      <c r="AU81" s="135" t="str">
        <f t="shared" si="14"/>
        <v>27456.1383070198-616765.696518876i</v>
      </c>
      <c r="AV81" s="135" t="str">
        <f t="shared" si="40"/>
        <v>19751.3805157467-523262.889899758i</v>
      </c>
      <c r="AW81" s="135" t="str">
        <f t="shared" si="15"/>
        <v>10000</v>
      </c>
      <c r="AX81" s="135" t="str">
        <f t="shared" si="16"/>
        <v>1789.92604368691-264845.036360465i</v>
      </c>
      <c r="AY81" s="135" t="str">
        <f t="shared" si="41"/>
        <v>9983.22480357683-376.832517030704i</v>
      </c>
      <c r="AZ81" s="135" t="str">
        <f t="shared" si="42"/>
        <v>3.95128409965478-52.2650674339256i</v>
      </c>
      <c r="BA81" s="182">
        <f t="shared" si="43"/>
        <v>52.41421486494837</v>
      </c>
      <c r="BB81" s="182">
        <f t="shared" si="44"/>
        <v>34.38898169395187</v>
      </c>
      <c r="BC81" s="182">
        <f t="shared" si="45"/>
        <v>-85.676613975931886</v>
      </c>
      <c r="BE81" s="135" t="str">
        <f t="shared" si="46"/>
        <v>-12.2379857468651-116.904875858663i</v>
      </c>
      <c r="BF81" s="161">
        <f t="shared" si="47"/>
        <v>117.54368674952254</v>
      </c>
      <c r="BG81" s="161">
        <f t="shared" si="48"/>
        <v>41.403986164161743</v>
      </c>
      <c r="BH81" s="161">
        <f t="shared" si="49"/>
        <v>-95.97614347449273</v>
      </c>
      <c r="BI81" s="64">
        <f t="shared" si="50"/>
        <v>84.02385652550727</v>
      </c>
      <c r="BS81" s="64">
        <v>1737.8008287493701</v>
      </c>
      <c r="BT81" s="64">
        <v>10.843488347652899</v>
      </c>
      <c r="BU81" s="64">
        <v>-9.6141529257256106</v>
      </c>
      <c r="BV81" s="186">
        <v>1445.4397707459289</v>
      </c>
      <c r="BW81" s="64">
        <v>10.614372639878628</v>
      </c>
      <c r="BX81" s="64">
        <v>-7.8204693135384771</v>
      </c>
      <c r="BZ81" s="64">
        <v>1737.8008287493701</v>
      </c>
      <c r="CA81" s="64">
        <v>6.54225245561185</v>
      </c>
      <c r="CB81" s="64">
        <v>-14.3376310504856</v>
      </c>
      <c r="CC81" s="186">
        <v>1445.4397707459289</v>
      </c>
      <c r="CD81" s="64">
        <v>6.8768941422724774</v>
      </c>
      <c r="CE81" s="64">
        <v>-12.298264251493121</v>
      </c>
      <c r="CG81" s="64">
        <v>1737.8008287493701</v>
      </c>
      <c r="CH81" s="64">
        <v>10.5737474727579</v>
      </c>
      <c r="CI81" s="64">
        <v>-13.9394178044416</v>
      </c>
      <c r="CJ81" s="64">
        <v>1445.4397707459289</v>
      </c>
      <c r="CK81" s="64">
        <v>11.118325411424957</v>
      </c>
      <c r="CL81" s="64">
        <v>-12.13516810912842</v>
      </c>
      <c r="CN81" s="64">
        <v>1737.8008287493701</v>
      </c>
      <c r="CO81" s="64">
        <v>7.0323054953242297</v>
      </c>
      <c r="CP81" s="64">
        <v>-15.4123270637703</v>
      </c>
      <c r="CQ81" s="186">
        <v>1445.4397707459289</v>
      </c>
      <c r="CR81" s="64">
        <v>6.9404415946077478</v>
      </c>
      <c r="CS81" s="64">
        <v>-12.7365029715377</v>
      </c>
      <c r="CU81" s="64">
        <v>1737.8008287493701</v>
      </c>
      <c r="CV81" s="64">
        <v>4.59739079020917</v>
      </c>
      <c r="CW81" s="64">
        <v>-11.719536864124899</v>
      </c>
      <c r="CX81" s="139">
        <v>1445.4397707459289</v>
      </c>
      <c r="CY81" s="64">
        <v>4.8957745207255048</v>
      </c>
      <c r="CZ81" s="64">
        <v>-10.012446539496061</v>
      </c>
    </row>
    <row r="82" spans="2:104">
      <c r="B82" s="135">
        <f t="shared" si="58"/>
        <v>3.2</v>
      </c>
      <c r="C82" s="139">
        <f t="shared" si="17"/>
        <v>1584.8931924611156</v>
      </c>
      <c r="D82" s="139">
        <f t="shared" si="18"/>
        <v>9958.17762032063</v>
      </c>
      <c r="E82" s="32" t="str">
        <f t="shared" si="19"/>
        <v>9958.17762032063i</v>
      </c>
      <c r="F82"/>
      <c r="G82" s="153" t="str">
        <f t="shared" ref="G82:G113" si="59">IMPRODUCT(Ro_p,IMSUM(1,IMPRODUCT(AF232*AC232,E82)))</f>
        <v>0.04+0.000702737876134212i</v>
      </c>
      <c r="H82" s="153" t="str">
        <f t="shared" ref="H82:H113" si="60">IMSUM(1,IMPRODUCT((Ro_p+AC232)*AF232,E82))</f>
        <v>1+0.321558762644213i</v>
      </c>
      <c r="I82" t="str">
        <f t="shared" si="52"/>
        <v>0.0364563804084182-0.0110201306984835i</v>
      </c>
      <c r="J82"/>
      <c r="K82" t="str">
        <f t="shared" si="53"/>
        <v>0.04+0.000702737876134212i</v>
      </c>
      <c r="L82" t="str">
        <f t="shared" ref="L82:L113" si="61">IMPRODUCT(Km,H82)</f>
        <v>5.43580907071529+1.7479320387494i</v>
      </c>
      <c r="M82" t="str">
        <f t="shared" si="54"/>
        <v>0.00670670730596888-0.00202732115037906i</v>
      </c>
      <c r="N82" s="153" t="str">
        <f t="shared" ref="N82:N113" si="62">IMSUM((Rs_p+DCRp),IMPRODUCT(Lp,E82))</f>
        <v>0.0011+0.00219079907647054i</v>
      </c>
      <c r="O82" s="135" t="str">
        <f t="shared" ref="O82:O113" si="63">IMPRODUCT((1/Np/Kmp),N82)</f>
        <v>0.000242+0.000481975796823519i</v>
      </c>
      <c r="Q82" s="135" t="str">
        <f t="shared" ref="Q82:Q113" si="64">IMDIV(E82,(Wn*Qz))</f>
        <v>-0.00995817762032063i</v>
      </c>
      <c r="R82" s="135" t="str">
        <f t="shared" ref="R82:R113" si="65">IMDIV(IMPRODUCT(E82,E82),IMPRODUCT(Wn,Wn))</f>
        <v>-0.0000401901829041534</v>
      </c>
      <c r="S82" s="64" t="str">
        <f t="shared" si="55"/>
        <v>0.999959809817096-0.00995817762032063i</v>
      </c>
      <c r="T82" s="135" t="str">
        <f t="shared" ref="T82:T113" si="66">IMPRODUCT(Ri/Np,S82)</f>
        <v>0.00999959809817096-0.0000995817762032063i</v>
      </c>
      <c r="U82" s="64" t="str">
        <f t="shared" si="56"/>
        <v>0.0169483054041398-0.00164492712975875i</v>
      </c>
      <c r="W82" s="64" t="str">
        <f t="shared" si="57"/>
        <v>2.19347934334051-0.437330862367327i</v>
      </c>
      <c r="X82" s="172">
        <f t="shared" si="26"/>
        <v>2.2366514956158157</v>
      </c>
      <c r="Y82" s="188">
        <f t="shared" si="27"/>
        <v>6.9919663934037501</v>
      </c>
      <c r="Z82" s="161">
        <f t="shared" si="28"/>
        <v>-11.275644460490458</v>
      </c>
      <c r="AA82" s="161">
        <f t="shared" si="8"/>
        <v>-11.275644460490458</v>
      </c>
      <c r="AB82" s="199"/>
      <c r="AC82" s="64" t="str">
        <f t="shared" ref="AC82:AC113" si="67">COMPLEX(0,-1/D82/_C1u)</f>
        <v>-10041998.0254158i</v>
      </c>
      <c r="AD82" s="64" t="str">
        <f t="shared" ref="AD82:AD113" si="68">COMPLEX(_R2u, -1/D82/_C2u)</f>
        <v>22000-1004199.80254158i</v>
      </c>
      <c r="AE82" s="64" t="str">
        <f t="shared" si="29"/>
        <v>18181.746061885-912945.122812783i</v>
      </c>
      <c r="AF82" s="64" t="str">
        <f t="shared" ref="AF82:AF113" si="69">COMPLEX(_R1u,0)</f>
        <v>10000</v>
      </c>
      <c r="AG82" s="64" t="str">
        <f t="shared" ref="AG82:AG113" si="70">COMPLEX(_R3u,-1/D82/_C3u)</f>
        <v>-257487.128856816i</v>
      </c>
      <c r="AH82" s="64" t="str">
        <f t="shared" si="30"/>
        <v>9984.93967319385-387.784030896018i</v>
      </c>
      <c r="AI82" s="64" t="str">
        <f t="shared" si="31"/>
        <v>5.36376978551281-91.2239000291529i</v>
      </c>
      <c r="AJ82" s="161">
        <f t="shared" si="32"/>
        <v>91.381453057176003</v>
      </c>
      <c r="AK82" s="161">
        <f t="shared" si="33"/>
        <v>39.217161189888621</v>
      </c>
      <c r="AL82" s="161">
        <f t="shared" si="34"/>
        <v>-86.635005214633537</v>
      </c>
      <c r="AN82" s="64" t="str">
        <f t="shared" si="35"/>
        <v>-28.129708641304-202.443482398745i</v>
      </c>
      <c r="AO82" s="161">
        <f t="shared" si="36"/>
        <v>204.38846365187939</v>
      </c>
      <c r="AP82" s="161">
        <f t="shared" si="37"/>
        <v>46.209127583292386</v>
      </c>
      <c r="AQ82" s="161">
        <f t="shared" si="38"/>
        <v>-97.910649675123992</v>
      </c>
      <c r="AR82" s="64">
        <f t="shared" si="39"/>
        <v>82.089350324876008</v>
      </c>
      <c r="AT82" s="135" t="str">
        <f t="shared" ref="AT82:AT113" si="71">COMPLEX(0,-1/D82/_C1c)</f>
        <v>-3142571.18360865i</v>
      </c>
      <c r="AU82" s="135" t="str">
        <f t="shared" ref="AU82:AU113" si="72">COMPLEX(_R2c, -1/D82/_C2c)</f>
        <v>27456.1383070198-562497.000568112i</v>
      </c>
      <c r="AV82" s="135" t="str">
        <f t="shared" si="40"/>
        <v>19751.1980507218-477246.050161408i</v>
      </c>
      <c r="AW82" s="135" t="str">
        <f t="shared" ref="AW82:AW113" si="73">COMPLEX(_R1c,0)</f>
        <v>10000</v>
      </c>
      <c r="AX82" s="135" t="str">
        <f t="shared" ref="AX82:AX113" si="74">COMPLEX(_R3c,-1/D82/_C3c)</f>
        <v>1789.92604368691-241541.543910354i</v>
      </c>
      <c r="AY82" s="135" t="str">
        <f t="shared" si="41"/>
        <v>9979.83984272947-413.023414613004i</v>
      </c>
      <c r="AZ82" s="135" t="str">
        <f t="shared" si="42"/>
        <v>3.9514514661023-47.6574790456879i</v>
      </c>
      <c r="BA82" s="182">
        <f t="shared" si="43"/>
        <v>47.821012930291879</v>
      </c>
      <c r="BB82" s="182">
        <f t="shared" si="44"/>
        <v>33.592375419441737</v>
      </c>
      <c r="BC82" s="182">
        <f t="shared" si="45"/>
        <v>-85.260244247363332</v>
      </c>
      <c r="BE82" s="135" t="str">
        <f t="shared" si="46"/>
        <v>-12.1746592421955-106.263787519673i</v>
      </c>
      <c r="BF82" s="161">
        <f t="shared" si="47"/>
        <v>106.95894009240082</v>
      </c>
      <c r="BG82" s="161">
        <f t="shared" si="48"/>
        <v>40.584341812845508</v>
      </c>
      <c r="BH82" s="161">
        <f t="shared" si="49"/>
        <v>-96.535888707853758</v>
      </c>
      <c r="BI82" s="64">
        <f t="shared" si="50"/>
        <v>83.464111292146242</v>
      </c>
      <c r="BS82" s="64">
        <v>1905.4607179632401</v>
      </c>
      <c r="BT82" s="64">
        <v>10.833060486680401</v>
      </c>
      <c r="BU82" s="64">
        <v>-10.541520361105</v>
      </c>
      <c r="BV82" s="186">
        <v>1584.8931924611156</v>
      </c>
      <c r="BW82" s="64">
        <v>10.608321074600786</v>
      </c>
      <c r="BX82" s="64">
        <v>-8.5759467949413288</v>
      </c>
      <c r="BZ82" s="64">
        <v>1905.4607179632401</v>
      </c>
      <c r="CA82" s="64">
        <v>6.4942823836538199</v>
      </c>
      <c r="CB82" s="64">
        <v>-15.6661899516433</v>
      </c>
      <c r="CC82" s="186">
        <v>1584.8931924611156</v>
      </c>
      <c r="CD82" s="64">
        <v>6.8408191998909391</v>
      </c>
      <c r="CE82" s="64">
        <v>-13.449174943349075</v>
      </c>
      <c r="CG82" s="64">
        <v>1905.4607179632401</v>
      </c>
      <c r="CH82" s="64">
        <v>10.5986342741384</v>
      </c>
      <c r="CI82" s="64">
        <v>-15.3621504461338</v>
      </c>
      <c r="CJ82" s="64">
        <v>1584.8931924611156</v>
      </c>
      <c r="CK82" s="64">
        <v>11.131836132989525</v>
      </c>
      <c r="CL82" s="64">
        <v>-13.348093194292728</v>
      </c>
      <c r="CN82" s="64">
        <v>1905.4607179632401</v>
      </c>
      <c r="CO82" s="64">
        <v>6.9798229626330297</v>
      </c>
      <c r="CP82" s="64">
        <v>-16.837295789506801</v>
      </c>
      <c r="CQ82" s="186">
        <v>1584.8931924611156</v>
      </c>
      <c r="CR82" s="64">
        <v>6.9050934606604955</v>
      </c>
      <c r="CS82" s="64">
        <v>-13.931478238767852</v>
      </c>
      <c r="CU82" s="64">
        <v>1905.4607179632401</v>
      </c>
      <c r="CV82" s="64">
        <v>4.5671271195618397</v>
      </c>
      <c r="CW82" s="64">
        <v>-12.8232422231545</v>
      </c>
      <c r="CX82" s="139">
        <v>1584.8931924611156</v>
      </c>
      <c r="CY82" s="64">
        <v>4.8731649671318351</v>
      </c>
      <c r="CZ82" s="64">
        <v>-10.961010232254669</v>
      </c>
    </row>
    <row r="83" spans="2:104">
      <c r="B83" s="135">
        <f t="shared" si="58"/>
        <v>3.24</v>
      </c>
      <c r="C83" s="139">
        <f t="shared" si="17"/>
        <v>1737.8008287493772</v>
      </c>
      <c r="D83" s="139">
        <f t="shared" si="18"/>
        <v>10918.924634002595</v>
      </c>
      <c r="E83" s="32" t="str">
        <f t="shared" si="19"/>
        <v>10918.9246340026i</v>
      </c>
      <c r="F83"/>
      <c r="G83" s="153" t="str">
        <f t="shared" si="59"/>
        <v>0.04+0.0007705012269867i</v>
      </c>
      <c r="H83" s="153" t="str">
        <f t="shared" si="60"/>
        <v>1+0.352571351559661i</v>
      </c>
      <c r="I83" t="str">
        <f t="shared" si="52"/>
        <v>0.0358191067859132-0.0118582896641825i</v>
      </c>
      <c r="J83"/>
      <c r="K83" t="str">
        <f t="shared" si="53"/>
        <v>0.04+0.0007705012269867i</v>
      </c>
      <c r="L83" t="str">
        <f t="shared" si="61"/>
        <v>5.43580907071529+1.91651055088235i</v>
      </c>
      <c r="M83" t="str">
        <f t="shared" si="54"/>
        <v>0.006589471101714-0.00218151327795295i</v>
      </c>
      <c r="N83" s="153" t="str">
        <f t="shared" si="62"/>
        <v>0.0011+0.00240216341948057i</v>
      </c>
      <c r="O83" s="135" t="str">
        <f t="shared" si="63"/>
        <v>0.000242+0.000528475952285725i</v>
      </c>
      <c r="Q83" s="135" t="str">
        <f t="shared" si="64"/>
        <v>-0.0109189246340026i</v>
      </c>
      <c r="R83" s="135" t="str">
        <f t="shared" si="65"/>
        <v>-0.0000483192275264325</v>
      </c>
      <c r="S83" s="64" t="str">
        <f t="shared" si="55"/>
        <v>0.999951680772474-0.0109189246340026i</v>
      </c>
      <c r="T83" s="135" t="str">
        <f t="shared" si="66"/>
        <v>0.00999951680772474-0.000109189246340026i</v>
      </c>
      <c r="U83" s="64" t="str">
        <f t="shared" si="56"/>
        <v>0.0168309879094387-0.00176222657200725i</v>
      </c>
      <c r="W83" s="64" t="str">
        <f t="shared" si="57"/>
        <v>2.17805503454505-0.476505790994922i</v>
      </c>
      <c r="X83" s="172">
        <f t="shared" si="26"/>
        <v>2.2295698020826205</v>
      </c>
      <c r="Y83" s="188">
        <f t="shared" si="27"/>
        <v>6.9644214707815095</v>
      </c>
      <c r="Z83" s="161">
        <f t="shared" si="28"/>
        <v>-12.340499461710449</v>
      </c>
      <c r="AA83" s="161">
        <f t="shared" si="8"/>
        <v>-12.340499461710449</v>
      </c>
      <c r="AB83" s="199"/>
      <c r="AC83" s="64" t="str">
        <f t="shared" si="67"/>
        <v>-9158411.04796989i</v>
      </c>
      <c r="AD83" s="64" t="str">
        <f t="shared" si="68"/>
        <v>22000-915841.104796989i</v>
      </c>
      <c r="AE83" s="64" t="str">
        <f t="shared" si="29"/>
        <v>18181.731474657-832622.527533853i</v>
      </c>
      <c r="AF83" s="64" t="str">
        <f t="shared" si="69"/>
        <v>10000</v>
      </c>
      <c r="AG83" s="64" t="str">
        <f t="shared" si="70"/>
        <v>-234831.052512049i</v>
      </c>
      <c r="AH83" s="64" t="str">
        <f t="shared" si="30"/>
        <v>9981.89901857118-425.067252043211i</v>
      </c>
      <c r="AI83" s="64" t="str">
        <f t="shared" si="31"/>
        <v>5.36379677188449-83.1848280206672i</v>
      </c>
      <c r="AJ83" s="161">
        <f t="shared" si="32"/>
        <v>83.357578711464839</v>
      </c>
      <c r="AK83" s="161">
        <f t="shared" si="33"/>
        <v>38.418901823638258</v>
      </c>
      <c r="AL83" s="161">
        <f t="shared" si="34"/>
        <v>-86.310648685927845</v>
      </c>
      <c r="AN83" s="64" t="str">
        <f t="shared" si="35"/>
        <v>-27.9554077114851-183.737013691701i</v>
      </c>
      <c r="AO83" s="161">
        <f t="shared" si="36"/>
        <v>185.85154026980697</v>
      </c>
      <c r="AP83" s="161">
        <f t="shared" si="37"/>
        <v>45.383323294419768</v>
      </c>
      <c r="AQ83" s="161">
        <f t="shared" si="38"/>
        <v>-98.65114814763831</v>
      </c>
      <c r="AR83" s="64">
        <f t="shared" si="39"/>
        <v>81.34885185236169</v>
      </c>
      <c r="AT83" s="135" t="str">
        <f t="shared" si="71"/>
        <v>-2866058.98289862i</v>
      </c>
      <c r="AU83" s="135" t="str">
        <f t="shared" si="72"/>
        <v>27456.1383070198-513003.361623306i</v>
      </c>
      <c r="AV83" s="135" t="str">
        <f t="shared" si="40"/>
        <v>19750.9786839748-435280.568535414i</v>
      </c>
      <c r="AW83" s="135" t="str">
        <f t="shared" si="73"/>
        <v>10000</v>
      </c>
      <c r="AX83" s="135" t="str">
        <f t="shared" si="74"/>
        <v>1789.92604368691-220288.506201004i</v>
      </c>
      <c r="AY83" s="135" t="str">
        <f t="shared" si="41"/>
        <v>9975.77380679995-452.653552804367i</v>
      </c>
      <c r="AZ83" s="135" t="str">
        <f t="shared" si="42"/>
        <v>3.95165267574954-43.4544574995073i</v>
      </c>
      <c r="BA83" s="182">
        <f t="shared" si="43"/>
        <v>43.633764855284312</v>
      </c>
      <c r="BB83" s="182">
        <f t="shared" si="44"/>
        <v>32.796453737313428</v>
      </c>
      <c r="BC83" s="182">
        <f t="shared" si="45"/>
        <v>-84.803939786586213</v>
      </c>
      <c r="BE83" s="135" t="str">
        <f t="shared" si="46"/>
        <v>-12.0993836378682-96.529185314221i</v>
      </c>
      <c r="BF83" s="161">
        <f t="shared" si="47"/>
        <v>97.284524472515841</v>
      </c>
      <c r="BG83" s="161">
        <f t="shared" si="48"/>
        <v>39.760875208094944</v>
      </c>
      <c r="BH83" s="161">
        <f t="shared" si="49"/>
        <v>-97.144439248296635</v>
      </c>
      <c r="BI83" s="64">
        <f t="shared" si="50"/>
        <v>82.855560751703365</v>
      </c>
      <c r="BS83" s="64">
        <v>2089.2961308540298</v>
      </c>
      <c r="BT83" s="64">
        <v>10.8204869604858</v>
      </c>
      <c r="BU83" s="64">
        <v>-11.558249439443101</v>
      </c>
      <c r="BV83" s="186">
        <v>1737.8008287493772</v>
      </c>
      <c r="BW83" s="64">
        <v>10.60102041405842</v>
      </c>
      <c r="BX83" s="64">
        <v>-9.4045973494358002</v>
      </c>
      <c r="BZ83" s="64">
        <v>2089.2961308540298</v>
      </c>
      <c r="CA83" s="64">
        <v>6.4372964083592201</v>
      </c>
      <c r="CB83" s="64">
        <v>-17.106551494769398</v>
      </c>
      <c r="CC83" s="186">
        <v>1737.8008287493772</v>
      </c>
      <c r="CD83" s="64">
        <v>6.7978385791418958</v>
      </c>
      <c r="CE83" s="64">
        <v>-14.700302361013394</v>
      </c>
      <c r="CG83" s="64">
        <v>2089.2961308540298</v>
      </c>
      <c r="CH83" s="64">
        <v>10.627765803757301</v>
      </c>
      <c r="CI83" s="64">
        <v>-16.9469438499912</v>
      </c>
      <c r="CJ83" s="64">
        <v>1737.8008287493772</v>
      </c>
      <c r="CK83" s="64">
        <v>11.14768643000529</v>
      </c>
      <c r="CL83" s="64">
        <v>-14.691377969079722</v>
      </c>
      <c r="CN83" s="64">
        <v>2089.2961308540298</v>
      </c>
      <c r="CO83" s="64">
        <v>6.9175317791694901</v>
      </c>
      <c r="CP83" s="64">
        <v>-18.3812866877782</v>
      </c>
      <c r="CQ83" s="186">
        <v>1737.8008287493772</v>
      </c>
      <c r="CR83" s="64">
        <v>6.8629596952972252</v>
      </c>
      <c r="CS83" s="64">
        <v>-15.231445079639514</v>
      </c>
      <c r="CU83" s="64">
        <v>2089.2961308540298</v>
      </c>
      <c r="CV83" s="64">
        <v>4.5310131539194201</v>
      </c>
      <c r="CW83" s="64">
        <v>-14.0251677615442</v>
      </c>
      <c r="CX83" s="139">
        <v>1737.8008287493772</v>
      </c>
      <c r="CY83" s="64">
        <v>4.84613448754701</v>
      </c>
      <c r="CZ83" s="64">
        <v>-11.995701603476791</v>
      </c>
    </row>
    <row r="84" spans="2:104">
      <c r="B84" s="135">
        <f t="shared" si="58"/>
        <v>3.2800000000000002</v>
      </c>
      <c r="C84" s="139">
        <f t="shared" si="17"/>
        <v>1905.4607179632501</v>
      </c>
      <c r="D84" s="139">
        <f t="shared" si="18"/>
        <v>11972.362786514559</v>
      </c>
      <c r="E84" s="32" t="str">
        <f t="shared" si="19"/>
        <v>11972.3627865146i</v>
      </c>
      <c r="F84"/>
      <c r="G84" s="153" t="str">
        <f t="shared" si="59"/>
        <v>0.04+0.000844790960334236i</v>
      </c>
      <c r="H84" s="153" t="str">
        <f t="shared" si="60"/>
        <v>1+0.386572536921443i</v>
      </c>
      <c r="I84" t="str">
        <f t="shared" si="52"/>
        <v>0.0350837205110852-0.0127176118822788i</v>
      </c>
      <c r="J84"/>
      <c r="K84" t="str">
        <f t="shared" si="53"/>
        <v>0.04+0.000844790960334236i</v>
      </c>
      <c r="L84" t="str">
        <f t="shared" si="61"/>
        <v>5.43580907071529+2.101334502687i</v>
      </c>
      <c r="M84" t="str">
        <f t="shared" si="54"/>
        <v>0.00645418557838872-0.00233959870864363i</v>
      </c>
      <c r="N84" s="153" t="str">
        <f t="shared" si="62"/>
        <v>0.0011+0.00263391981303321i</v>
      </c>
      <c r="O84" s="135" t="str">
        <f t="shared" si="63"/>
        <v>0.000242+0.000579462358867306i</v>
      </c>
      <c r="Q84" s="135" t="str">
        <f t="shared" si="64"/>
        <v>-0.0119723627865146i</v>
      </c>
      <c r="R84" s="135" t="str">
        <f t="shared" si="65"/>
        <v>-0.0000580924887632169</v>
      </c>
      <c r="S84" s="64" t="str">
        <f t="shared" si="55"/>
        <v>0.999941907511237-0.0119723627865146i</v>
      </c>
      <c r="T84" s="135" t="str">
        <f t="shared" si="66"/>
        <v>0.00999941907511237-0.000119723627865146i</v>
      </c>
      <c r="U84" s="64" t="str">
        <f t="shared" si="56"/>
        <v>0.0166956046535011-0.00187985997764147i</v>
      </c>
      <c r="W84" s="64" t="str">
        <f t="shared" si="57"/>
        <v>2.15976174590411-0.51855337944272i</v>
      </c>
      <c r="X84" s="172">
        <f t="shared" si="26"/>
        <v>2.2211412396338588</v>
      </c>
      <c r="Y84" s="188">
        <f t="shared" si="27"/>
        <v>6.9315235135477318</v>
      </c>
      <c r="Z84" s="161">
        <f t="shared" si="28"/>
        <v>-13.501014844060535</v>
      </c>
      <c r="AA84" s="161">
        <f t="shared" si="8"/>
        <v>-13.501014844060535</v>
      </c>
      <c r="AB84" s="199"/>
      <c r="AC84" s="64" t="str">
        <f t="shared" si="67"/>
        <v>-8352570.14702545i</v>
      </c>
      <c r="AD84" s="64" t="str">
        <f t="shared" si="68"/>
        <v>22000-835257.014702545i</v>
      </c>
      <c r="AE84" s="64" t="str">
        <f t="shared" si="29"/>
        <v>18181.7139369827-759368.094435563i</v>
      </c>
      <c r="AF84" s="64" t="str">
        <f t="shared" si="69"/>
        <v>10000</v>
      </c>
      <c r="AG84" s="64" t="str">
        <f t="shared" si="70"/>
        <v>-214168.465308345i</v>
      </c>
      <c r="AH84" s="64" t="str">
        <f t="shared" si="30"/>
        <v>9978.24579841162-465.906396819234i</v>
      </c>
      <c r="AI84" s="64" t="str">
        <f t="shared" si="31"/>
        <v>5.36382921658212-75.8519149941759i</v>
      </c>
      <c r="AJ84" s="161">
        <f t="shared" si="32"/>
        <v>76.041328711092007</v>
      </c>
      <c r="AK84" s="161">
        <f t="shared" si="33"/>
        <v>37.620993938421947</v>
      </c>
      <c r="AL84" s="161">
        <f t="shared" si="34"/>
        <v>-85.955091647795143</v>
      </c>
      <c r="AN84" s="64" t="str">
        <f t="shared" si="35"/>
        <v>-27.748673703895-166.603496125004i</v>
      </c>
      <c r="AO84" s="161">
        <f t="shared" si="36"/>
        <v>168.89853111676092</v>
      </c>
      <c r="AP84" s="161">
        <f t="shared" si="37"/>
        <v>44.552517451969692</v>
      </c>
      <c r="AQ84" s="161">
        <f t="shared" si="38"/>
        <v>-99.456106491855678</v>
      </c>
      <c r="AR84" s="64">
        <f t="shared" si="39"/>
        <v>80.543893508144322</v>
      </c>
      <c r="AT84" s="135" t="str">
        <f t="shared" si="71"/>
        <v>-2613876.85863691i</v>
      </c>
      <c r="AU84" s="135" t="str">
        <f t="shared" si="72"/>
        <v>27456.1383070198-467864.626426474i</v>
      </c>
      <c r="AV84" s="135" t="str">
        <f t="shared" si="40"/>
        <v>19750.7149535875-397010.198383732i</v>
      </c>
      <c r="AW84" s="135" t="str">
        <f t="shared" si="73"/>
        <v>10000</v>
      </c>
      <c r="AX84" s="135" t="str">
        <f t="shared" si="74"/>
        <v>1789.92604368691-200905.505440837i</v>
      </c>
      <c r="AY84" s="135" t="str">
        <f t="shared" si="41"/>
        <v>9970.89052659164-496.038180948166i</v>
      </c>
      <c r="AZ84" s="135" t="str">
        <f t="shared" si="42"/>
        <v>3.95189456982817-39.6203234542036i</v>
      </c>
      <c r="BA84" s="182">
        <f t="shared" si="43"/>
        <v>39.81692480976843</v>
      </c>
      <c r="BB84" s="182">
        <f t="shared" si="44"/>
        <v>32.00135430030646</v>
      </c>
      <c r="BC84" s="182">
        <f t="shared" si="45"/>
        <v>-84.303922526561578</v>
      </c>
      <c r="BE84" s="135" t="str">
        <f t="shared" si="46"/>
        <v>-12.0101019060299-87.6197272411221i</v>
      </c>
      <c r="BF84" s="161">
        <f t="shared" si="47"/>
        <v>88.439013730377255</v>
      </c>
      <c r="BG84" s="161">
        <f t="shared" si="48"/>
        <v>38.932877813854198</v>
      </c>
      <c r="BH84" s="161">
        <f t="shared" si="49"/>
        <v>-97.804937370622113</v>
      </c>
      <c r="BI84" s="64">
        <f t="shared" si="50"/>
        <v>82.195062629377887</v>
      </c>
      <c r="BS84" s="64">
        <v>2290.8676527677699</v>
      </c>
      <c r="BT84" s="64">
        <v>10.8053182873004</v>
      </c>
      <c r="BU84" s="64">
        <v>-12.6728988157389</v>
      </c>
      <c r="BV84" s="186">
        <v>1905.4607179632501</v>
      </c>
      <c r="BW84" s="64">
        <v>10.592207108811767</v>
      </c>
      <c r="BX84" s="64">
        <v>-10.31355793718811</v>
      </c>
      <c r="BZ84" s="64">
        <v>2290.8676527677699</v>
      </c>
      <c r="CA84" s="64">
        <v>6.3697509984359897</v>
      </c>
      <c r="CB84" s="64">
        <v>-18.664851849262099</v>
      </c>
      <c r="CC84" s="186">
        <v>1905.4607179632501</v>
      </c>
      <c r="CD84" s="64">
        <v>6.746718517362968</v>
      </c>
      <c r="CE84" s="64">
        <v>-16.058152564270522</v>
      </c>
      <c r="CG84" s="64">
        <v>2290.8676527677699</v>
      </c>
      <c r="CH84" s="64">
        <v>10.6616243155551</v>
      </c>
      <c r="CI84" s="64">
        <v>-18.7172850087725</v>
      </c>
      <c r="CJ84" s="64">
        <v>1905.4607179632501</v>
      </c>
      <c r="CK84" s="64">
        <v>11.166167786116702</v>
      </c>
      <c r="CL84" s="64">
        <v>-16.18178820250575</v>
      </c>
      <c r="CN84" s="64">
        <v>2290.8676527677699</v>
      </c>
      <c r="CO84" s="64">
        <v>6.8437745244481896</v>
      </c>
      <c r="CP84" s="64">
        <v>-20.050591441249999</v>
      </c>
      <c r="CQ84" s="186">
        <v>1905.4607179632501</v>
      </c>
      <c r="CR84" s="64">
        <v>6.8128199461063197</v>
      </c>
      <c r="CS84" s="64">
        <v>-16.643513020460336</v>
      </c>
      <c r="CU84" s="64">
        <v>2290.8676527677699</v>
      </c>
      <c r="CV84" s="64">
        <v>4.4879798351085203</v>
      </c>
      <c r="CW84" s="64">
        <v>-15.332338750024601</v>
      </c>
      <c r="CX84" s="139">
        <v>1905.4607179632501</v>
      </c>
      <c r="CY84" s="64">
        <v>4.8138539493883172</v>
      </c>
      <c r="CZ84" s="64">
        <v>-13.123203112062082</v>
      </c>
    </row>
    <row r="85" spans="2:104">
      <c r="B85" s="135">
        <f t="shared" si="58"/>
        <v>3.3200000000000003</v>
      </c>
      <c r="C85" s="139">
        <f t="shared" si="17"/>
        <v>2089.2961308540421</v>
      </c>
      <c r="D85" s="139">
        <f t="shared" si="18"/>
        <v>13127.434751729275</v>
      </c>
      <c r="E85" s="32" t="str">
        <f t="shared" si="19"/>
        <v>13127.4347517293i</v>
      </c>
      <c r="F85"/>
      <c r="G85" s="153" t="str">
        <f t="shared" si="59"/>
        <v>0.04+0.000926233135266536i</v>
      </c>
      <c r="H85" s="153" t="str">
        <f t="shared" si="60"/>
        <v>1+0.423849558496896i</v>
      </c>
      <c r="I85" t="str">
        <f t="shared" si="52"/>
        <v>0.0342412042891087-0.0135868861850742i</v>
      </c>
      <c r="J85"/>
      <c r="K85" t="str">
        <f t="shared" si="53"/>
        <v>0.04+0.000926233135266536i</v>
      </c>
      <c r="L85" t="str">
        <f t="shared" si="61"/>
        <v>5.43580907071529+2.3039652746961i</v>
      </c>
      <c r="M85" t="str">
        <f t="shared" si="54"/>
        <v>0.00629919186705411-0.00249951497713041i</v>
      </c>
      <c r="N85" s="153" t="str">
        <f t="shared" si="62"/>
        <v>0.0011+0.00288803564538045i</v>
      </c>
      <c r="O85" s="135" t="str">
        <f t="shared" si="63"/>
        <v>0.000242+0.000635367841983699i</v>
      </c>
      <c r="Q85" s="135" t="str">
        <f t="shared" si="64"/>
        <v>-0.0131274347517293i</v>
      </c>
      <c r="R85" s="135" t="str">
        <f t="shared" si="65"/>
        <v>-0.0000698425331584269</v>
      </c>
      <c r="S85" s="64" t="str">
        <f t="shared" si="55"/>
        <v>0.999930157466842-0.0131274347517293i</v>
      </c>
      <c r="T85" s="135" t="str">
        <f t="shared" si="66"/>
        <v>0.00999930157466842-0.000131274347517293i</v>
      </c>
      <c r="U85" s="64" t="str">
        <f t="shared" si="56"/>
        <v>0.0165404934417225-0.001995421482664i</v>
      </c>
      <c r="W85" s="64" t="str">
        <f t="shared" si="57"/>
        <v>2.13812288884948-0.563491643881558i</v>
      </c>
      <c r="X85" s="172">
        <f t="shared" si="26"/>
        <v>2.2111291958061576</v>
      </c>
      <c r="Y85" s="188">
        <f t="shared" si="27"/>
        <v>6.8922823810762965</v>
      </c>
      <c r="Z85" s="161">
        <f t="shared" si="28"/>
        <v>-14.764305042534181</v>
      </c>
      <c r="AA85" s="161">
        <f t="shared" si="8"/>
        <v>-14.764305042534181</v>
      </c>
      <c r="AB85" s="199"/>
      <c r="AC85" s="64" t="str">
        <f t="shared" si="67"/>
        <v>-7617634.5105678i</v>
      </c>
      <c r="AD85" s="64" t="str">
        <f t="shared" si="68"/>
        <v>22000-761763.45105678i</v>
      </c>
      <c r="AE85" s="64" t="str">
        <f t="shared" si="29"/>
        <v>18181.6928521053-692559.964030754i</v>
      </c>
      <c r="AF85" s="64" t="str">
        <f t="shared" si="69"/>
        <v>10000</v>
      </c>
      <c r="AG85" s="64" t="str">
        <f t="shared" si="70"/>
        <v>-195323.961809431i</v>
      </c>
      <c r="AH85" s="64" t="str">
        <f t="shared" si="30"/>
        <v>9973.85720022348-510.631522514095i</v>
      </c>
      <c r="AI85" s="64" t="str">
        <f t="shared" si="31"/>
        <v>5.36386822360527-69.1629115983045i</v>
      </c>
      <c r="AJ85" s="161">
        <f t="shared" si="32"/>
        <v>69.37059480122025</v>
      </c>
      <c r="AK85" s="161">
        <f t="shared" si="33"/>
        <v>36.823508365348964</v>
      </c>
      <c r="AL85" s="161">
        <f t="shared" si="34"/>
        <v>-85.565353391982171</v>
      </c>
      <c r="AN85" s="64" t="str">
        <f t="shared" si="35"/>
        <v>-27.5041133305007-150.901299270691i</v>
      </c>
      <c r="AO85" s="161">
        <f t="shared" si="36"/>
        <v>153.38734749541655</v>
      </c>
      <c r="AP85" s="161">
        <f t="shared" si="37"/>
        <v>43.715790746425242</v>
      </c>
      <c r="AQ85" s="161">
        <f t="shared" si="38"/>
        <v>-100.32965843451639</v>
      </c>
      <c r="AR85" s="64">
        <f t="shared" si="39"/>
        <v>79.670341565483611</v>
      </c>
      <c r="AT85" s="135" t="str">
        <f t="shared" si="71"/>
        <v>-2383884.02781844i</v>
      </c>
      <c r="AU85" s="135" t="str">
        <f t="shared" si="72"/>
        <v>27456.1383070198-426697.610652148i</v>
      </c>
      <c r="AV85" s="135" t="str">
        <f t="shared" si="40"/>
        <v>19750.3978892463-362110.060945189i</v>
      </c>
      <c r="AW85" s="135" t="str">
        <f t="shared" si="73"/>
        <v>10000</v>
      </c>
      <c r="AX85" s="135" t="str">
        <f t="shared" si="74"/>
        <v>1789.92604368691-183227.998648321i</v>
      </c>
      <c r="AY85" s="135" t="str">
        <f t="shared" si="41"/>
        <v>9965.02699257372-543.517756912591i</v>
      </c>
      <c r="AZ85" s="135" t="str">
        <f t="shared" si="42"/>
        <v>3.9521853715069-36.1225291497375i</v>
      </c>
      <c r="BA85" s="182">
        <f t="shared" si="43"/>
        <v>36.338091328307108</v>
      </c>
      <c r="BB85" s="182">
        <f t="shared" si="44"/>
        <v>31.207242241854498</v>
      </c>
      <c r="BC85" s="182">
        <f t="shared" si="45"/>
        <v>-83.756073516974311</v>
      </c>
      <c r="BE85" s="135" t="str">
        <f t="shared" si="46"/>
        <v>-11.9044853279501-79.4614298101014i</v>
      </c>
      <c r="BF85" s="161">
        <f t="shared" si="47"/>
        <v>80.348214655890459</v>
      </c>
      <c r="BG85" s="161">
        <f t="shared" si="48"/>
        <v>38.099524622930801</v>
      </c>
      <c r="BH85" s="161">
        <f t="shared" si="49"/>
        <v>-98.520378559508487</v>
      </c>
      <c r="BI85" s="64">
        <f t="shared" si="50"/>
        <v>81.479621440491513</v>
      </c>
      <c r="BS85" s="64">
        <v>2511.8864315095698</v>
      </c>
      <c r="BT85" s="64">
        <v>10.7870077225954</v>
      </c>
      <c r="BU85" s="64">
        <v>-13.8948170109245</v>
      </c>
      <c r="BV85" s="186">
        <v>2089.2961308540421</v>
      </c>
      <c r="BW85" s="64">
        <v>10.581559644143105</v>
      </c>
      <c r="BX85" s="64">
        <v>-11.310670844306106</v>
      </c>
      <c r="BZ85" s="64">
        <v>2511.8864315095698</v>
      </c>
      <c r="CA85" s="64">
        <v>6.2898980199411003</v>
      </c>
      <c r="CB85" s="64">
        <v>-20.346629531765299</v>
      </c>
      <c r="CC85" s="186">
        <v>2089.2961308540421</v>
      </c>
      <c r="CD85" s="64">
        <v>6.6860407131046902</v>
      </c>
      <c r="CE85" s="64">
        <v>-17.529002839765141</v>
      </c>
      <c r="CG85" s="64">
        <v>2511.8864315095698</v>
      </c>
      <c r="CH85" s="64">
        <v>10.700604391200899</v>
      </c>
      <c r="CI85" s="64">
        <v>-20.7013573399894</v>
      </c>
      <c r="CJ85" s="64">
        <v>2089.2961308540421</v>
      </c>
      <c r="CK85" s="64">
        <v>11.187545071364207</v>
      </c>
      <c r="CL85" s="64">
        <v>-17.838995646672672</v>
      </c>
      <c r="CN85" s="64">
        <v>2511.8864315095698</v>
      </c>
      <c r="CO85" s="64">
        <v>6.7566823918693704</v>
      </c>
      <c r="CP85" s="64">
        <v>-21.850806154445401</v>
      </c>
      <c r="CQ85" s="186">
        <v>2089.2961308540421</v>
      </c>
      <c r="CR85" s="64">
        <v>6.75326794837832</v>
      </c>
      <c r="CS85" s="64">
        <v>-18.174654217996785</v>
      </c>
      <c r="CU85" s="64">
        <v>2511.8864315095698</v>
      </c>
      <c r="CV85" s="64">
        <v>4.4367883064133</v>
      </c>
      <c r="CW85" s="64">
        <v>-16.751775291042801</v>
      </c>
      <c r="CX85" s="139">
        <v>2089.2961308540421</v>
      </c>
      <c r="CY85" s="64">
        <v>4.7753535842687711</v>
      </c>
      <c r="CZ85" s="64">
        <v>-14.350372644893648</v>
      </c>
    </row>
    <row r="86" spans="2:104">
      <c r="B86" s="135">
        <f t="shared" si="58"/>
        <v>3.3600000000000003</v>
      </c>
      <c r="C86" s="139">
        <f t="shared" si="17"/>
        <v>2290.8676527677767</v>
      </c>
      <c r="D86" s="139">
        <f t="shared" si="18"/>
        <v>14393.94597656348</v>
      </c>
      <c r="E86" s="32" t="str">
        <f t="shared" si="19"/>
        <v>14393.9459765635i</v>
      </c>
      <c r="F86"/>
      <c r="G86" s="153" t="str">
        <f t="shared" si="59"/>
        <v>0.04+0.00101551306961013i</v>
      </c>
      <c r="H86" s="153" t="str">
        <f t="shared" si="60"/>
        <v>1+0.464717020566063i</v>
      </c>
      <c r="I86" t="str">
        <f t="shared" si="52"/>
        <v>0.0332838766590606-0.0144520709242769i</v>
      </c>
      <c r="J86"/>
      <c r="K86" t="str">
        <f t="shared" si="53"/>
        <v>0.04+0.00101551306961013i</v>
      </c>
      <c r="L86" t="str">
        <f t="shared" si="61"/>
        <v>5.43580907071529+2.52611299570879i</v>
      </c>
      <c r="M86" t="str">
        <f t="shared" si="54"/>
        <v>0.00612307684579526-0.00265867890800939i</v>
      </c>
      <c r="N86" s="153" t="str">
        <f t="shared" si="62"/>
        <v>0.0011+0.00316666811484397i</v>
      </c>
      <c r="O86" s="135" t="str">
        <f t="shared" si="63"/>
        <v>0.000242+0.000696666985265673i</v>
      </c>
      <c r="Q86" s="135" t="str">
        <f t="shared" si="64"/>
        <v>-0.0143939459765635i</v>
      </c>
      <c r="R86" s="135" t="str">
        <f t="shared" si="65"/>
        <v>-0.0000839691936399643</v>
      </c>
      <c r="S86" s="64" t="str">
        <f t="shared" si="55"/>
        <v>0.99991603080636-0.0143939459765635i</v>
      </c>
      <c r="T86" s="135" t="str">
        <f t="shared" si="66"/>
        <v>0.0099991603080636-0.000143939459765635i</v>
      </c>
      <c r="U86" s="64" t="str">
        <f t="shared" si="56"/>
        <v>0.0163642371538589-0.00210595138250935i</v>
      </c>
      <c r="W86" s="64" t="str">
        <f t="shared" si="57"/>
        <v>2.11260620725889-0.611273526981572i</v>
      </c>
      <c r="X86" s="172">
        <f t="shared" si="26"/>
        <v>2.1992635839610681</v>
      </c>
      <c r="Y86" s="188">
        <f t="shared" si="27"/>
        <v>6.8455456622470043</v>
      </c>
      <c r="Z86" s="161">
        <f t="shared" si="28"/>
        <v>-16.137572678904789</v>
      </c>
      <c r="AA86" s="161">
        <f t="shared" si="8"/>
        <v>-16.137572678904789</v>
      </c>
      <c r="AB86" s="199"/>
      <c r="AC86" s="64" t="str">
        <f t="shared" si="67"/>
        <v>-6947365.24388948i</v>
      </c>
      <c r="AD86" s="64" t="str">
        <f t="shared" si="68"/>
        <v>22000-694736.524388948i</v>
      </c>
      <c r="AE86" s="64" t="str">
        <f t="shared" si="29"/>
        <v>18181.6675025719-631630.999723366i</v>
      </c>
      <c r="AF86" s="64" t="str">
        <f t="shared" si="69"/>
        <v>10000</v>
      </c>
      <c r="AG86" s="64" t="str">
        <f t="shared" si="70"/>
        <v>-178137.570356141i</v>
      </c>
      <c r="AH86" s="64" t="str">
        <f t="shared" si="30"/>
        <v>9968.5860525445-559.600427501893i</v>
      </c>
      <c r="AI86" s="64" t="str">
        <f t="shared" si="31"/>
        <v>5.36391512024214-63.0610346558162i</v>
      </c>
      <c r="AJ86" s="161">
        <f t="shared" si="32"/>
        <v>63.288748425602591</v>
      </c>
      <c r="AK86" s="161">
        <f t="shared" si="33"/>
        <v>36.026530146314762</v>
      </c>
      <c r="AL86" s="161">
        <f t="shared" si="34"/>
        <v>-85.138174965666622</v>
      </c>
      <c r="AN86" s="64" t="str">
        <f t="shared" si="35"/>
        <v>-27.2157006909346-136.501952564025i</v>
      </c>
      <c r="AO86" s="161">
        <f t="shared" si="36"/>
        <v>139.1886396869007</v>
      </c>
      <c r="AP86" s="161">
        <f t="shared" si="37"/>
        <v>42.872075808561732</v>
      </c>
      <c r="AQ86" s="161">
        <f t="shared" si="38"/>
        <v>-101.27574764457147</v>
      </c>
      <c r="AR86" s="64">
        <f t="shared" si="39"/>
        <v>78.724252355428533</v>
      </c>
      <c r="AT86" s="135" t="str">
        <f t="shared" si="71"/>
        <v>-2174128.07313784i</v>
      </c>
      <c r="AU86" s="135" t="str">
        <f t="shared" si="72"/>
        <v>27456.1383070198-389152.846042026i</v>
      </c>
      <c r="AV86" s="135" t="str">
        <f t="shared" si="40"/>
        <v>19750.0167075419-330283.887410444i</v>
      </c>
      <c r="AW86" s="135" t="str">
        <f t="shared" si="73"/>
        <v>10000</v>
      </c>
      <c r="AX86" s="135" t="str">
        <f t="shared" si="74"/>
        <v>1789.92604368691-167105.920840759i</v>
      </c>
      <c r="AY86" s="135" t="str">
        <f t="shared" si="41"/>
        <v>9957.98823461325-595.458759884079i</v>
      </c>
      <c r="AZ86" s="135" t="str">
        <f t="shared" si="42"/>
        <v>3.95253496460636-32.9313821342105i</v>
      </c>
      <c r="BA86" s="182">
        <f t="shared" si="43"/>
        <v>33.167732239570348</v>
      </c>
      <c r="BB86" s="182">
        <f t="shared" si="44"/>
        <v>30.414315574791626</v>
      </c>
      <c r="BC86" s="182">
        <f t="shared" si="45"/>
        <v>-83.155907450541349</v>
      </c>
      <c r="BE86" s="135" t="str">
        <f t="shared" si="46"/>
        <v>-11.7799322049216-71.9871222986805i</v>
      </c>
      <c r="BF86" s="161">
        <f t="shared" si="47"/>
        <v>72.944585677058541</v>
      </c>
      <c r="BG86" s="161">
        <f t="shared" si="48"/>
        <v>37.259861237038628</v>
      </c>
      <c r="BH86" s="161">
        <f t="shared" si="49"/>
        <v>-99.293480129446152</v>
      </c>
      <c r="BI86" s="64">
        <f t="shared" si="50"/>
        <v>80.706519870553848</v>
      </c>
      <c r="BS86" s="64">
        <v>2754.2287033381599</v>
      </c>
      <c r="BT86" s="64">
        <v>10.7648891550103</v>
      </c>
      <c r="BU86" s="64">
        <v>-15.2341984135827</v>
      </c>
      <c r="BV86" s="186">
        <v>2290.8676527677767</v>
      </c>
      <c r="BW86" s="64">
        <v>10.568684885110313</v>
      </c>
      <c r="BX86" s="64">
        <v>-12.404552596121134</v>
      </c>
      <c r="BZ86" s="64">
        <v>2754.2287033381599</v>
      </c>
      <c r="CA86" s="64">
        <v>6.1957804574699198</v>
      </c>
      <c r="CB86" s="64">
        <v>-22.156529221197498</v>
      </c>
      <c r="CC86" s="186">
        <v>2290.8676527677767</v>
      </c>
      <c r="CD86" s="64">
        <v>6.6141889688007289</v>
      </c>
      <c r="CE86" s="64">
        <v>-19.118683083526708</v>
      </c>
      <c r="CG86" s="64">
        <v>2754.2287033381599</v>
      </c>
      <c r="CH86" s="64">
        <v>10.744900772267901</v>
      </c>
      <c r="CI86" s="64">
        <v>-22.933184491956499</v>
      </c>
      <c r="CJ86" s="64">
        <v>2290.8676527677767</v>
      </c>
      <c r="CK86" s="64">
        <v>11.212009934638756</v>
      </c>
      <c r="CL86" s="64">
        <v>-19.686231448091863</v>
      </c>
      <c r="CN86" s="64">
        <v>2754.2287033381599</v>
      </c>
      <c r="CO86" s="64">
        <v>6.6541741560713099</v>
      </c>
      <c r="CP86" s="64">
        <v>-23.786515550401599</v>
      </c>
      <c r="CQ86" s="186">
        <v>2290.8676527677767</v>
      </c>
      <c r="CR86" s="64">
        <v>6.6826965472015418</v>
      </c>
      <c r="CS86" s="64">
        <v>-19.831498376365634</v>
      </c>
      <c r="CU86" s="64">
        <v>2754.2287033381599</v>
      </c>
      <c r="CV86" s="64">
        <v>4.3760132690573403</v>
      </c>
      <c r="CW86" s="64">
        <v>-18.290324857761899</v>
      </c>
      <c r="CX86" s="139">
        <v>2290.8676527677767</v>
      </c>
      <c r="CY86" s="64">
        <v>4.7295052869514578</v>
      </c>
      <c r="CZ86" s="64">
        <v>-15.684137059389831</v>
      </c>
    </row>
    <row r="87" spans="2:104">
      <c r="B87" s="135">
        <f t="shared" si="58"/>
        <v>3.4000000000000004</v>
      </c>
      <c r="C87" s="139">
        <f t="shared" si="17"/>
        <v>2511.8864315095834</v>
      </c>
      <c r="D87" s="139">
        <f t="shared" si="18"/>
        <v>15782.647919764777</v>
      </c>
      <c r="E87" s="32" t="str">
        <f t="shared" si="19"/>
        <v>15782.6479197648i</v>
      </c>
      <c r="F87"/>
      <c r="G87" s="153" t="str">
        <f t="shared" si="59"/>
        <v>0.04+0.00111338069452802i</v>
      </c>
      <c r="H87" s="153" t="str">
        <f t="shared" si="60"/>
        <v>1+0.509519421589341i</v>
      </c>
      <c r="I87" t="str">
        <f t="shared" si="52"/>
        <v>0.0322062287277638-0.0152963183384162i</v>
      </c>
      <c r="J87"/>
      <c r="K87" t="str">
        <f t="shared" si="53"/>
        <v>0.04+0.00111338069452802i</v>
      </c>
      <c r="L87" t="str">
        <f t="shared" si="61"/>
        <v>5.43580907071529+2.76965029358095i</v>
      </c>
      <c r="M87" t="str">
        <f t="shared" si="54"/>
        <v>0.0059248270696759-0.00281399109855111i</v>
      </c>
      <c r="N87" s="153" t="str">
        <f t="shared" si="62"/>
        <v>0.0011+0.00347218254234826i</v>
      </c>
      <c r="O87" s="135" t="str">
        <f t="shared" si="63"/>
        <v>0.000242+0.000763880159316617i</v>
      </c>
      <c r="Q87" s="135" t="str">
        <f t="shared" si="64"/>
        <v>-0.0157826479197648i</v>
      </c>
      <c r="R87" s="135" t="str">
        <f t="shared" si="65"/>
        <v>-0.000100953175116831</v>
      </c>
      <c r="S87" s="64" t="str">
        <f t="shared" si="55"/>
        <v>0.999899046824883-0.0157826479197648i</v>
      </c>
      <c r="T87" s="135" t="str">
        <f t="shared" si="66"/>
        <v>0.00999899046824883-0.000157826479197648i</v>
      </c>
      <c r="U87" s="64" t="str">
        <f t="shared" si="56"/>
        <v>0.0161658175379247-0.00220793741843214i</v>
      </c>
      <c r="W87" s="64" t="str">
        <f t="shared" si="57"/>
        <v>2.0826270771624-0.661767217216949i</v>
      </c>
      <c r="X87" s="172">
        <f t="shared" si="26"/>
        <v>2.1852394359229987</v>
      </c>
      <c r="Y87" s="188">
        <f t="shared" si="27"/>
        <v>6.7899805881707467</v>
      </c>
      <c r="Z87" s="161">
        <f t="shared" si="28"/>
        <v>-17.627966032766263</v>
      </c>
      <c r="AA87" s="161">
        <f t="shared" si="8"/>
        <v>-17.627966032766263</v>
      </c>
      <c r="AB87" s="199"/>
      <c r="AC87" s="64" t="str">
        <f t="shared" si="67"/>
        <v>-6336072.40739172i</v>
      </c>
      <c r="AD87" s="64" t="str">
        <f t="shared" si="68"/>
        <v>22000-633607.240739172i</v>
      </c>
      <c r="AE87" s="64" t="str">
        <f t="shared" si="29"/>
        <v>18181.6370258229-576063.973365313i</v>
      </c>
      <c r="AF87" s="64" t="str">
        <f t="shared" si="69"/>
        <v>10000</v>
      </c>
      <c r="AG87" s="64" t="str">
        <f t="shared" si="70"/>
        <v>-162463.395061326i</v>
      </c>
      <c r="AH87" s="64" t="str">
        <f t="shared" si="30"/>
        <v>9962.25611040511-613.200044640493i</v>
      </c>
      <c r="AI87" s="64" t="str">
        <f t="shared" si="31"/>
        <v>5.36397150222764-57.4944851299758i</v>
      </c>
      <c r="AJ87" s="161">
        <f t="shared" si="32"/>
        <v>57.74415996997201</v>
      </c>
      <c r="AK87" s="161">
        <f t="shared" si="33"/>
        <v>35.230161357061441</v>
      </c>
      <c r="AL87" s="161">
        <f t="shared" si="34"/>
        <v>-84.669995268371594</v>
      </c>
      <c r="AN87" s="64" t="str">
        <f t="shared" si="35"/>
        <v>-26.8768131381186-123.289272013459i</v>
      </c>
      <c r="AO87" s="161">
        <f t="shared" si="36"/>
        <v>126.18481556062927</v>
      </c>
      <c r="AP87" s="161">
        <f t="shared" si="37"/>
        <v>42.020141945232197</v>
      </c>
      <c r="AQ87" s="161">
        <f t="shared" si="38"/>
        <v>-102.29796130113785</v>
      </c>
      <c r="AR87" s="64">
        <f t="shared" si="39"/>
        <v>77.702038698862154</v>
      </c>
      <c r="AT87" s="135" t="str">
        <f t="shared" si="71"/>
        <v>-1982828.36884969i</v>
      </c>
      <c r="AU87" s="135" t="str">
        <f t="shared" si="72"/>
        <v>27456.1383070198-354911.61375653i</v>
      </c>
      <c r="AV87" s="135" t="str">
        <f t="shared" si="40"/>
        <v>19749.5584458135-301261.503862251i</v>
      </c>
      <c r="AW87" s="135" t="str">
        <f t="shared" si="73"/>
        <v>10000</v>
      </c>
      <c r="AX87" s="135" t="str">
        <f t="shared" si="74"/>
        <v>1789.92604368691-152402.411127323i</v>
      </c>
      <c r="AY87" s="135" t="str">
        <f t="shared" si="41"/>
        <v>9949.54130055242-652.254087910757i</v>
      </c>
      <c r="AZ87" s="135" t="str">
        <f t="shared" si="42"/>
        <v>3.95295522833124-30.0197932379717i</v>
      </c>
      <c r="BA87" s="182">
        <f t="shared" si="43"/>
        <v>30.278933948997658</v>
      </c>
      <c r="BB87" s="182">
        <f t="shared" si="44"/>
        <v>29.622811611925385</v>
      </c>
      <c r="BC87" s="182">
        <f t="shared" si="45"/>
        <v>-82.498547031978688</v>
      </c>
      <c r="BE87" s="135" t="str">
        <f t="shared" si="46"/>
        <v>-11.6335834391874-65.1359704294525i</v>
      </c>
      <c r="BF87" s="161">
        <f t="shared" si="47"/>
        <v>66.166720543057338</v>
      </c>
      <c r="BG87" s="161">
        <f t="shared" si="48"/>
        <v>36.412792200096121</v>
      </c>
      <c r="BH87" s="161">
        <f t="shared" si="49"/>
        <v>-100.12651306474494</v>
      </c>
      <c r="BI87" s="64">
        <f t="shared" si="50"/>
        <v>79.873486935255059</v>
      </c>
      <c r="BS87" s="64">
        <v>3019.9517204020099</v>
      </c>
      <c r="BT87" s="64">
        <v>10.738149729925199</v>
      </c>
      <c r="BU87" s="64">
        <v>-16.7021335535932</v>
      </c>
      <c r="BV87" s="186">
        <v>2511.8864315095834</v>
      </c>
      <c r="BW87" s="64">
        <v>10.55310090486817</v>
      </c>
      <c r="BX87" s="64">
        <v>-13.604667291380864</v>
      </c>
      <c r="BZ87" s="64">
        <v>3019.9517204020099</v>
      </c>
      <c r="CA87" s="64">
        <v>6.0852374881750002</v>
      </c>
      <c r="CB87" s="64">
        <v>-24.097960969282301</v>
      </c>
      <c r="CC87" s="186">
        <v>2511.8864315095834</v>
      </c>
      <c r="CD87" s="64">
        <v>6.5293407210939858</v>
      </c>
      <c r="CE87" s="64">
        <v>-20.832308850008449</v>
      </c>
      <c r="CG87" s="64">
        <v>3019.9517204020099</v>
      </c>
      <c r="CH87" s="64">
        <v>10.7943241408554</v>
      </c>
      <c r="CI87" s="64">
        <v>-25.454014819715798</v>
      </c>
      <c r="CJ87" s="64">
        <v>2511.8864315095834</v>
      </c>
      <c r="CK87" s="64">
        <v>11.239604487632411</v>
      </c>
      <c r="CL87" s="64">
        <v>-21.75108965632807</v>
      </c>
      <c r="CN87" s="64">
        <v>3019.9517204020099</v>
      </c>
      <c r="CO87" s="64">
        <v>6.5339658391970197</v>
      </c>
      <c r="CP87" s="64">
        <v>-25.860936396688999</v>
      </c>
      <c r="CQ87" s="186">
        <v>2511.8864315095834</v>
      </c>
      <c r="CR87" s="64">
        <v>6.5992869586614686</v>
      </c>
      <c r="CS87" s="64">
        <v>-21.620079710795231</v>
      </c>
      <c r="CU87" s="64">
        <v>3019.9517204020099</v>
      </c>
      <c r="CV87" s="64">
        <v>4.3040289543622299</v>
      </c>
      <c r="CW87" s="64">
        <v>-19.954449922618501</v>
      </c>
      <c r="CX87" s="139">
        <v>2511.8864315095834</v>
      </c>
      <c r="CY87" s="64">
        <v>4.6750052511244311</v>
      </c>
      <c r="CZ87" s="64">
        <v>-17.131349392444285</v>
      </c>
    </row>
    <row r="88" spans="2:104">
      <c r="B88" s="135">
        <f t="shared" si="58"/>
        <v>3.4400000000000004</v>
      </c>
      <c r="C88" s="139">
        <f t="shared" si="17"/>
        <v>2754.2287033381713</v>
      </c>
      <c r="D88" s="139">
        <f t="shared" si="18"/>
        <v>17305.329321426681</v>
      </c>
      <c r="E88" s="32" t="str">
        <f t="shared" si="19"/>
        <v>17305.3293214267i</v>
      </c>
      <c r="F88"/>
      <c r="G88" s="153" t="str">
        <f t="shared" si="59"/>
        <v>0.04+0.00122065631089737i</v>
      </c>
      <c r="H88" s="153" t="str">
        <f t="shared" si="60"/>
        <v>1+0.558633892967927i</v>
      </c>
      <c r="I88" t="str">
        <f t="shared" si="52"/>
        <v>0.0310058482845456-0.0161002614210713i</v>
      </c>
      <c r="J88"/>
      <c r="K88" t="str">
        <f t="shared" si="53"/>
        <v>0.04+0.00122065631089737i</v>
      </c>
      <c r="L88" t="str">
        <f t="shared" si="61"/>
        <v>5.43580907071529+3.03662718260405i</v>
      </c>
      <c r="M88" t="str">
        <f t="shared" si="54"/>
        <v>0.00570399877574538-0.00296188869248725i</v>
      </c>
      <c r="N88" s="153" t="str">
        <f t="shared" si="62"/>
        <v>0.0011+0.00380717245071387i</v>
      </c>
      <c r="O88" s="135" t="str">
        <f t="shared" si="63"/>
        <v>0.000242+0.000837577939157051i</v>
      </c>
      <c r="Q88" s="135" t="str">
        <f t="shared" si="64"/>
        <v>-0.0173053293214267i</v>
      </c>
      <c r="R88" s="135" t="str">
        <f t="shared" si="65"/>
        <v>-0.00012137241200467</v>
      </c>
      <c r="S88" s="64" t="str">
        <f t="shared" si="55"/>
        <v>0.999878627587995-0.0173053293214267i</v>
      </c>
      <c r="T88" s="135" t="str">
        <f t="shared" si="66"/>
        <v>0.00999878627587995-0.000173053293214267i</v>
      </c>
      <c r="U88" s="64" t="str">
        <f t="shared" si="56"/>
        <v>0.0159447850516253-0.00229736404654447i</v>
      </c>
      <c r="W88" s="64" t="str">
        <f t="shared" si="57"/>
        <v>2.0475567471925-0.714733885086149i</v>
      </c>
      <c r="X88" s="172">
        <f t="shared" si="26"/>
        <v>2.1687169385292937</v>
      </c>
      <c r="Y88" s="188">
        <f t="shared" si="27"/>
        <v>6.7240574297999745</v>
      </c>
      <c r="Z88" s="161">
        <f t="shared" si="28"/>
        <v>-19.2423941277005</v>
      </c>
      <c r="AA88" s="161">
        <f t="shared" si="8"/>
        <v>-19.2423941277005</v>
      </c>
      <c r="AB88" s="199"/>
      <c r="AC88" s="64" t="str">
        <f t="shared" si="67"/>
        <v>-5778566.71448514i</v>
      </c>
      <c r="AD88" s="64" t="str">
        <f t="shared" si="68"/>
        <v>22000-577856.671448514i</v>
      </c>
      <c r="AE88" s="64" t="str">
        <f t="shared" si="29"/>
        <v>18181.6003848469-525387.174487827i</v>
      </c>
      <c r="AF88" s="64" t="str">
        <f t="shared" si="69"/>
        <v>10000</v>
      </c>
      <c r="AG88" s="64" t="str">
        <f t="shared" si="70"/>
        <v>-148168.377294491i</v>
      </c>
      <c r="AH88" s="64" t="str">
        <f t="shared" si="30"/>
        <v>9954.65648027657-671.847573824154i</v>
      </c>
      <c r="AI88" s="64" t="str">
        <f t="shared" si="31"/>
        <v>5.36403928803331-52.4160084017051i</v>
      </c>
      <c r="AJ88" s="161">
        <f t="shared" si="32"/>
        <v>52.689760430762874</v>
      </c>
      <c r="AK88" s="161">
        <f t="shared" si="33"/>
        <v>34.43452447863578</v>
      </c>
      <c r="AL88" s="161">
        <f t="shared" si="34"/>
        <v>-84.156925762927131</v>
      </c>
      <c r="AN88" s="64" t="str">
        <f t="shared" si="35"/>
        <v>-26.4803224892407-111.158612303901i</v>
      </c>
      <c r="AO88" s="161">
        <f t="shared" si="36"/>
        <v>114.26917593324613</v>
      </c>
      <c r="AP88" s="161">
        <f t="shared" si="37"/>
        <v>41.158581908435764</v>
      </c>
      <c r="AQ88" s="161">
        <f t="shared" si="38"/>
        <v>-103.39931989062762</v>
      </c>
      <c r="AR88" s="64">
        <f t="shared" si="39"/>
        <v>76.600680109372377</v>
      </c>
      <c r="AT88" s="135" t="str">
        <f t="shared" si="71"/>
        <v>-1808360.96497332i</v>
      </c>
      <c r="AU88" s="135" t="str">
        <f t="shared" si="72"/>
        <v>27456.1383070198-323683.238759253i</v>
      </c>
      <c r="AV88" s="135" t="str">
        <f t="shared" si="40"/>
        <v>19749.0075221885-274796.537728735i</v>
      </c>
      <c r="AW88" s="135" t="str">
        <f t="shared" si="73"/>
        <v>10000</v>
      </c>
      <c r="AX88" s="135" t="str">
        <f t="shared" si="74"/>
        <v>1789.92604368691-138992.650892094i</v>
      </c>
      <c r="AY88" s="135" t="str">
        <f t="shared" si="41"/>
        <v>9939.40820912054-714.322855413098i</v>
      </c>
      <c r="AZ88" s="135" t="str">
        <f t="shared" si="42"/>
        <v>3.95346043919128-27.3630466579976i</v>
      </c>
      <c r="BA88" s="182">
        <f t="shared" si="43"/>
        <v>27.647172945022863</v>
      </c>
      <c r="BB88" s="182">
        <f t="shared" si="44"/>
        <v>28.833014584678821</v>
      </c>
      <c r="BC88" s="182">
        <f t="shared" si="45"/>
        <v>-81.778697872425866</v>
      </c>
      <c r="BE88" s="135" t="str">
        <f t="shared" si="46"/>
        <v>-11.4623620486395-58.8530629475637i</v>
      </c>
      <c r="BF88" s="161">
        <f t="shared" si="47"/>
        <v>59.958892268319858</v>
      </c>
      <c r="BG88" s="161">
        <f t="shared" si="48"/>
        <v>35.557072014478791</v>
      </c>
      <c r="BH88" s="161">
        <f t="shared" si="49"/>
        <v>-101.0210920001264</v>
      </c>
      <c r="BI88" s="64">
        <f t="shared" si="50"/>
        <v>78.978907999873599</v>
      </c>
      <c r="BS88" s="64">
        <v>3311.3112148259102</v>
      </c>
      <c r="BT88" s="64">
        <v>10.705795972520001</v>
      </c>
      <c r="BU88" s="64">
        <v>-18.310647193769199</v>
      </c>
      <c r="BV88" s="186">
        <v>2754.2287033381713</v>
      </c>
      <c r="BW88" s="64">
        <v>10.534215324602474</v>
      </c>
      <c r="BX88" s="64">
        <v>-14.921402713421557</v>
      </c>
      <c r="BZ88" s="64">
        <v>3311.3112148259102</v>
      </c>
      <c r="CA88" s="64">
        <v>5.9559221265199902</v>
      </c>
      <c r="CB88" s="64">
        <v>-26.172725500194801</v>
      </c>
      <c r="CC88" s="186">
        <v>2754.2287033381713</v>
      </c>
      <c r="CD88" s="64">
        <v>6.4294660884458281</v>
      </c>
      <c r="CE88" s="64">
        <v>-22.673966711792648</v>
      </c>
      <c r="CG88" s="64">
        <v>3311.3112148259102</v>
      </c>
      <c r="CH88" s="64">
        <v>10.848005088021701</v>
      </c>
      <c r="CI88" s="64">
        <v>-28.313920020571501</v>
      </c>
      <c r="CJ88" s="64">
        <v>2754.2287033381713</v>
      </c>
      <c r="CK88" s="64">
        <v>11.270099297817044</v>
      </c>
      <c r="CL88" s="64">
        <v>-24.066495365347702</v>
      </c>
      <c r="CN88" s="64">
        <v>3311.3112148259102</v>
      </c>
      <c r="CO88" s="64">
        <v>6.3935943080369997</v>
      </c>
      <c r="CP88" s="64">
        <v>-28.075534640464301</v>
      </c>
      <c r="CQ88" s="186">
        <v>2754.2287033381713</v>
      </c>
      <c r="CR88" s="64">
        <v>6.5010047656597809</v>
      </c>
      <c r="CS88" s="64">
        <v>-23.545535601075844</v>
      </c>
      <c r="CU88" s="64">
        <v>3311.3112148259102</v>
      </c>
      <c r="CV88" s="64">
        <v>4.2189997806046602</v>
      </c>
      <c r="CW88" s="64">
        <v>-21.749967600703599</v>
      </c>
      <c r="CX88" s="139">
        <v>2754.2287033381713</v>
      </c>
      <c r="CY88" s="64">
        <v>4.6103582105978704</v>
      </c>
      <c r="CZ88" s="64">
        <v>-18.698604086204071</v>
      </c>
    </row>
    <row r="89" spans="2:104">
      <c r="B89" s="135">
        <f t="shared" si="58"/>
        <v>3.4800000000000004</v>
      </c>
      <c r="C89" s="139">
        <f t="shared" si="17"/>
        <v>3019.9517204020231</v>
      </c>
      <c r="D89" s="139">
        <f t="shared" si="18"/>
        <v>18974.916278021705</v>
      </c>
      <c r="E89" s="32" t="str">
        <f t="shared" si="19"/>
        <v>18974.9162780217i</v>
      </c>
      <c r="F89"/>
      <c r="G89" s="153" t="str">
        <f t="shared" si="59"/>
        <v>0.04+0.00133823675001577i</v>
      </c>
      <c r="H89" s="153" t="str">
        <f t="shared" si="60"/>
        <v>1+0.612473156043691i</v>
      </c>
      <c r="I89" t="str">
        <f t="shared" si="52"/>
        <v>0.0296843432881266-0.0168426266687475i</v>
      </c>
      <c r="J89"/>
      <c r="K89" t="str">
        <f t="shared" si="53"/>
        <v>0.04+0.00133823675001577i</v>
      </c>
      <c r="L89" t="str">
        <f t="shared" si="61"/>
        <v>5.43580907071529+3.32928713719191i</v>
      </c>
      <c r="M89" t="str">
        <f t="shared" si="54"/>
        <v>0.00546088777253917-0.00309845810432984i</v>
      </c>
      <c r="N89" s="153" t="str">
        <f t="shared" si="62"/>
        <v>0.0011+0.00417448158116477i</v>
      </c>
      <c r="O89" s="135" t="str">
        <f t="shared" si="63"/>
        <v>0.000242+0.000918385947856249i</v>
      </c>
      <c r="Q89" s="135" t="str">
        <f t="shared" si="64"/>
        <v>-0.0189749162780217i</v>
      </c>
      <c r="R89" s="135" t="str">
        <f t="shared" si="65"/>
        <v>-0.000145921734296946</v>
      </c>
      <c r="S89" s="64" t="str">
        <f t="shared" si="55"/>
        <v>0.999854078265703-0.0189749162780217i</v>
      </c>
      <c r="T89" s="135" t="str">
        <f t="shared" si="66"/>
        <v>0.00999854078265703-0.000189749162780217i</v>
      </c>
      <c r="U89" s="64" t="str">
        <f t="shared" si="56"/>
        <v>0.0157014285551962-0.00236982131925381i</v>
      </c>
      <c r="W89" s="64" t="str">
        <f t="shared" si="57"/>
        <v>2.00673718595017-0.769803719505721i</v>
      </c>
      <c r="X89" s="172">
        <f t="shared" si="26"/>
        <v>2.1493235912816973</v>
      </c>
      <c r="Y89" s="188">
        <f t="shared" si="27"/>
        <v>6.6460361118620472</v>
      </c>
      <c r="Z89" s="161">
        <f t="shared" si="28"/>
        <v>-20.98729483876507</v>
      </c>
      <c r="AA89" s="161">
        <f t="shared" si="8"/>
        <v>-20.98729483876507</v>
      </c>
      <c r="AB89" s="199"/>
      <c r="AC89" s="64" t="str">
        <f t="shared" si="67"/>
        <v>-5270115.47955172i</v>
      </c>
      <c r="AD89" s="64" t="str">
        <f t="shared" si="68"/>
        <v>22000-527011.547955172i</v>
      </c>
      <c r="AE89" s="64" t="str">
        <f t="shared" si="29"/>
        <v>18181.5563329001-479170.40593382i</v>
      </c>
      <c r="AF89" s="64" t="str">
        <f t="shared" si="69"/>
        <v>10000</v>
      </c>
      <c r="AG89" s="64" t="str">
        <f t="shared" si="70"/>
        <v>-135131.166142352i</v>
      </c>
      <c r="AH89" s="64" t="str">
        <f t="shared" si="30"/>
        <v>9945.53505077826-735.991210221725i</v>
      </c>
      <c r="AI89" s="64" t="str">
        <f t="shared" si="31"/>
        <v>5.36412078413497-47.7824931247859i</v>
      </c>
      <c r="AJ89" s="161">
        <f t="shared" si="32"/>
        <v>48.082641784816701</v>
      </c>
      <c r="AK89" s="161">
        <f t="shared" si="33"/>
        <v>33.639766418267016</v>
      </c>
      <c r="AL89" s="161">
        <f t="shared" si="34"/>
        <v>-83.594723950391568</v>
      </c>
      <c r="AN89" s="64" t="str">
        <f t="shared" si="35"/>
        <v>-26.0187602872649-100.016225922421i</v>
      </c>
      <c r="AO89" s="161">
        <f t="shared" si="36"/>
        <v>103.34515631925336</v>
      </c>
      <c r="AP89" s="161">
        <f t="shared" si="37"/>
        <v>40.28580253012904</v>
      </c>
      <c r="AQ89" s="161">
        <f t="shared" si="38"/>
        <v>-104.58201878915666</v>
      </c>
      <c r="AR89" s="64">
        <f t="shared" si="39"/>
        <v>75.417981210843337</v>
      </c>
      <c r="AT89" s="135" t="str">
        <f t="shared" si="71"/>
        <v>-1649244.80152378i</v>
      </c>
      <c r="AU89" s="135" t="str">
        <f t="shared" si="72"/>
        <v>27456.1383070198-295202.622266266i</v>
      </c>
      <c r="AV89" s="135" t="str">
        <f t="shared" si="40"/>
        <v>19748.345206997-250664.326277403i</v>
      </c>
      <c r="AW89" s="135" t="str">
        <f t="shared" si="73"/>
        <v>10000</v>
      </c>
      <c r="AX89" s="135" t="str">
        <f t="shared" si="74"/>
        <v>1789.92604368691-126762.804204401i</v>
      </c>
      <c r="AY89" s="135" t="str">
        <f t="shared" si="41"/>
        <v>9927.25775166862-782.109348985823i</v>
      </c>
      <c r="AZ89" s="135" t="str">
        <f t="shared" si="42"/>
        <v>3.95406775347142-24.9385902042562i</v>
      </c>
      <c r="BA89" s="182">
        <f t="shared" si="43"/>
        <v>25.250107587391895</v>
      </c>
      <c r="BB89" s="182">
        <f t="shared" si="44"/>
        <v>28.045264658607326</v>
      </c>
      <c r="BC89" s="182">
        <f t="shared" si="45"/>
        <v>-80.990624860692762</v>
      </c>
      <c r="BE89" s="135" t="str">
        <f t="shared" si="46"/>
        <v>-11.2630447018078-53.0890523918535i</v>
      </c>
      <c r="BF89" s="161">
        <f t="shared" si="47"/>
        <v>54.270651919982377</v>
      </c>
      <c r="BG89" s="161">
        <f t="shared" si="48"/>
        <v>34.691300770469375</v>
      </c>
      <c r="BH89" s="161">
        <f t="shared" si="49"/>
        <v>-101.97791969945781</v>
      </c>
      <c r="BI89" s="64">
        <f t="shared" si="50"/>
        <v>78.022080300542186</v>
      </c>
      <c r="BS89" s="64">
        <v>3630.7805477010102</v>
      </c>
      <c r="BT89" s="64">
        <v>10.6666119920366</v>
      </c>
      <c r="BU89" s="64">
        <v>-20.0727142470048</v>
      </c>
      <c r="BV89" s="186">
        <v>3019.9517204020231</v>
      </c>
      <c r="BW89" s="64">
        <v>10.511297934876744</v>
      </c>
      <c r="BX89" s="64">
        <v>-16.366146054302043</v>
      </c>
      <c r="BZ89" s="64">
        <v>3630.7805477010102</v>
      </c>
      <c r="CA89" s="64">
        <v>5.8053346185545802</v>
      </c>
      <c r="CB89" s="64">
        <v>-28.380625159157699</v>
      </c>
      <c r="CC89" s="186">
        <v>3019.9517204020231</v>
      </c>
      <c r="CD89" s="64">
        <v>6.3123374970857284</v>
      </c>
      <c r="CE89" s="64">
        <v>-24.646358122059794</v>
      </c>
      <c r="CG89" s="64">
        <v>3630.7805477010102</v>
      </c>
      <c r="CH89" s="64">
        <v>10.903928051929</v>
      </c>
      <c r="CI89" s="64">
        <v>-31.573475129335201</v>
      </c>
      <c r="CJ89" s="64">
        <v>3019.9517204020231</v>
      </c>
      <c r="CK89" s="64">
        <v>11.302801952784421</v>
      </c>
      <c r="CL89" s="64">
        <v>-26.671829250866157</v>
      </c>
      <c r="CN89" s="64">
        <v>3630.7805477010102</v>
      </c>
      <c r="CO89" s="64">
        <v>6.2304577624872399</v>
      </c>
      <c r="CP89" s="64">
        <v>-30.4296403097539</v>
      </c>
      <c r="CQ89" s="186">
        <v>3019.9517204020231</v>
      </c>
      <c r="CR89" s="64">
        <v>6.3856055995737453</v>
      </c>
      <c r="CS89" s="64">
        <v>-25.611761657597185</v>
      </c>
      <c r="CU89" s="64">
        <v>3630.7805477010102</v>
      </c>
      <c r="CV89" s="64">
        <v>4.1188782830900204</v>
      </c>
      <c r="CW89" s="64">
        <v>-23.681741747835702</v>
      </c>
      <c r="CX89" s="139">
        <v>3019.9517204020231</v>
      </c>
      <c r="CY89" s="64">
        <v>4.5338650340178832</v>
      </c>
      <c r="CZ89" s="64">
        <v>-20.392005779372834</v>
      </c>
    </row>
    <row r="90" spans="2:104">
      <c r="B90" s="135">
        <f t="shared" si="58"/>
        <v>3.5200000000000005</v>
      </c>
      <c r="C90" s="139">
        <f t="shared" si="17"/>
        <v>3311.3112148259174</v>
      </c>
      <c r="D90" s="139">
        <f t="shared" si="18"/>
        <v>20805.58197249319</v>
      </c>
      <c r="E90" s="32" t="str">
        <f t="shared" si="19"/>
        <v>20805.5819724932i</v>
      </c>
      <c r="F90"/>
      <c r="G90" s="153" t="str">
        <f t="shared" si="59"/>
        <v>0.04+0.00146710193010103i</v>
      </c>
      <c r="H90" s="153" t="str">
        <f t="shared" si="60"/>
        <v>1+0.671488703917543i</v>
      </c>
      <c r="I90" t="str">
        <f t="shared" si="52"/>
        <v>0.0282481389982515-0.0175012043139174i</v>
      </c>
      <c r="J90"/>
      <c r="K90" t="str">
        <f t="shared" si="53"/>
        <v>0.04+0.00146710193010103i</v>
      </c>
      <c r="L90" t="str">
        <f t="shared" si="61"/>
        <v>5.43580907071529+3.65008438763783i</v>
      </c>
      <c r="M90" t="str">
        <f t="shared" si="54"/>
        <v>0.0051966760846025-0.00321961350853967i</v>
      </c>
      <c r="N90" s="153" t="str">
        <f t="shared" si="62"/>
        <v>0.0011+0.0045772280339485i</v>
      </c>
      <c r="O90" s="135" t="str">
        <f t="shared" si="63"/>
        <v>0.000242+0.00100699016746867i</v>
      </c>
      <c r="Q90" s="135" t="str">
        <f t="shared" si="64"/>
        <v>-0.0208055819724932i</v>
      </c>
      <c r="R90" s="135" t="str">
        <f t="shared" si="65"/>
        <v>-0.00017543651138291</v>
      </c>
      <c r="S90" s="64" t="str">
        <f t="shared" si="55"/>
        <v>0.999824563488617-0.0208055819724932i</v>
      </c>
      <c r="T90" s="135" t="str">
        <f t="shared" si="66"/>
        <v>0.00999824563488617-0.000208055819724932i</v>
      </c>
      <c r="U90" s="64" t="str">
        <f t="shared" si="56"/>
        <v>0.0154369217194887-0.00242067916079593i</v>
      </c>
      <c r="W90" s="64" t="str">
        <f t="shared" si="57"/>
        <v>1.95950426024254-0.826451893550186i</v>
      </c>
      <c r="X90" s="172">
        <f t="shared" si="26"/>
        <v>2.126659276485388</v>
      </c>
      <c r="Y90" s="188">
        <f t="shared" si="27"/>
        <v>6.5539582964513823</v>
      </c>
      <c r="Z90" s="161">
        <f t="shared" si="28"/>
        <v>-22.868353885061687</v>
      </c>
      <c r="AA90" s="161">
        <f t="shared" si="8"/>
        <v>-22.868353885061687</v>
      </c>
      <c r="AB90" s="199"/>
      <c r="AC90" s="64" t="str">
        <f t="shared" si="67"/>
        <v>-4806402.44200853i</v>
      </c>
      <c r="AD90" s="64" t="str">
        <f t="shared" si="68"/>
        <v>22000-480640.244200853i</v>
      </c>
      <c r="AE90" s="64" t="str">
        <f t="shared" si="29"/>
        <v>18181.5033710937-437021.331897985i</v>
      </c>
      <c r="AF90" s="64" t="str">
        <f t="shared" si="69"/>
        <v>10000</v>
      </c>
      <c r="AG90" s="64" t="str">
        <f t="shared" si="70"/>
        <v>-123241.088256629i</v>
      </c>
      <c r="AH90" s="64" t="str">
        <f t="shared" si="30"/>
        <v>9934.59078551537-806.110277509741i</v>
      </c>
      <c r="AI90" s="64" t="str">
        <f t="shared" si="31"/>
        <v>5.36421876347673-43.554605253878i</v>
      </c>
      <c r="AJ90" s="161">
        <f t="shared" si="32"/>
        <v>43.883692663261293</v>
      </c>
      <c r="AK90" s="161">
        <f t="shared" si="33"/>
        <v>32.846063296833293</v>
      </c>
      <c r="AL90" s="161">
        <f t="shared" si="34"/>
        <v>-82.978765858277583</v>
      </c>
      <c r="AN90" s="64" t="str">
        <f t="shared" si="35"/>
        <v>-25.4845764649927-89.7787033026489i</v>
      </c>
      <c r="AO90" s="161">
        <f t="shared" si="36"/>
        <v>93.325662088758421</v>
      </c>
      <c r="AP90" s="161">
        <f t="shared" si="37"/>
        <v>39.400021593284677</v>
      </c>
      <c r="AQ90" s="161">
        <f t="shared" si="38"/>
        <v>-105.84711974333922</v>
      </c>
      <c r="AR90" s="64">
        <f t="shared" si="39"/>
        <v>74.152880256660779</v>
      </c>
      <c r="AT90" s="135" t="str">
        <f t="shared" si="71"/>
        <v>-1504129.13574107i</v>
      </c>
      <c r="AU90" s="135" t="str">
        <f t="shared" si="72"/>
        <v>27456.1383070198-269227.991313122i</v>
      </c>
      <c r="AV90" s="135" t="str">
        <f t="shared" si="40"/>
        <v>19747.548987806-228660.009391866i</v>
      </c>
      <c r="AW90" s="135" t="str">
        <f t="shared" si="73"/>
        <v>10000</v>
      </c>
      <c r="AX90" s="135" t="str">
        <f t="shared" si="74"/>
        <v>1789.92604368691-115609.051461565i</v>
      </c>
      <c r="AY90" s="135" t="str">
        <f t="shared" si="41"/>
        <v>9912.69602568197-856.080828864631i</v>
      </c>
      <c r="AZ90" s="135" t="str">
        <f t="shared" si="42"/>
        <v>3.95479778621255-22.7258439320048i</v>
      </c>
      <c r="BA90" s="182">
        <f t="shared" si="43"/>
        <v>23.067388407699539</v>
      </c>
      <c r="BB90" s="182">
        <f t="shared" si="44"/>
        <v>27.259968566340966</v>
      </c>
      <c r="BC90" s="182">
        <f t="shared" si="45"/>
        <v>-80.128131310736975</v>
      </c>
      <c r="BE90" s="135" t="str">
        <f t="shared" si="46"/>
        <v>-11.0323736396501-47.7998381213939i</v>
      </c>
      <c r="BF90" s="161">
        <f t="shared" si="47"/>
        <v>49.056475541525693</v>
      </c>
      <c r="BG90" s="161">
        <f t="shared" si="48"/>
        <v>33.813926862792343</v>
      </c>
      <c r="BH90" s="161">
        <f t="shared" si="49"/>
        <v>-102.99648519579864</v>
      </c>
      <c r="BI90" s="64">
        <f t="shared" si="50"/>
        <v>77.003514804201359</v>
      </c>
      <c r="BS90" s="64">
        <v>3981.0717055349701</v>
      </c>
      <c r="BT90" s="64">
        <v>10.619108227439501</v>
      </c>
      <c r="BU90" s="64">
        <v>-22.002238403688398</v>
      </c>
      <c r="BV90" s="186">
        <v>3311.3112148259174</v>
      </c>
      <c r="BW90" s="64">
        <v>10.483446067075715</v>
      </c>
      <c r="BX90" s="64">
        <v>-17.951353662386101</v>
      </c>
      <c r="BZ90" s="64">
        <v>3981.0717055349701</v>
      </c>
      <c r="CA90" s="64">
        <v>5.6308741792981198</v>
      </c>
      <c r="CB90" s="64">
        <v>-30.719090286963201</v>
      </c>
      <c r="CC90" s="186">
        <v>3311.3112148259174</v>
      </c>
      <c r="CD90" s="64">
        <v>6.1755531447458436</v>
      </c>
      <c r="CE90" s="64">
        <v>-26.750415629208973</v>
      </c>
      <c r="CG90" s="64">
        <v>3981.0717055349701</v>
      </c>
      <c r="CH90" s="64">
        <v>10.958215196321399</v>
      </c>
      <c r="CI90" s="64">
        <v>-35.305161211997898</v>
      </c>
      <c r="CJ90" s="64">
        <v>3311.3112148259174</v>
      </c>
      <c r="CK90" s="64">
        <v>11.336261848859831</v>
      </c>
      <c r="CL90" s="64">
        <v>-29.61414712118944</v>
      </c>
      <c r="CN90" s="64">
        <v>3981.0717055349701</v>
      </c>
      <c r="CO90" s="64">
        <v>6.0418751663772001</v>
      </c>
      <c r="CP90" s="64">
        <v>-32.920094577626003</v>
      </c>
      <c r="CQ90" s="186">
        <v>3311.3112148259174</v>
      </c>
      <c r="CR90" s="64">
        <v>6.250653714976683</v>
      </c>
      <c r="CS90" s="64">
        <v>-27.821035092149813</v>
      </c>
      <c r="CU90" s="64">
        <v>3981.0717055349701</v>
      </c>
      <c r="CV90" s="64">
        <v>4.0014133403099699</v>
      </c>
      <c r="CW90" s="64">
        <v>-25.7533333989258</v>
      </c>
      <c r="CX90" s="139">
        <v>3311.3112148259174</v>
      </c>
      <c r="CY90" s="64">
        <v>4.4436159447942449</v>
      </c>
      <c r="CZ90" s="64">
        <v>-22.216889707734992</v>
      </c>
    </row>
    <row r="91" spans="2:104">
      <c r="B91" s="135">
        <f t="shared" si="58"/>
        <v>3.5600000000000005</v>
      </c>
      <c r="C91" s="139">
        <f t="shared" si="17"/>
        <v>3630.7805477010188</v>
      </c>
      <c r="D91" s="139">
        <f t="shared" si="18"/>
        <v>22812.866990908493</v>
      </c>
      <c r="E91" s="32" t="str">
        <f t="shared" si="19"/>
        <v>22812.8669909085i</v>
      </c>
      <c r="F91"/>
      <c r="G91" s="153" t="str">
        <f t="shared" si="59"/>
        <v>0.04+0.0016083217844005i</v>
      </c>
      <c r="H91" s="153" t="str">
        <f t="shared" si="60"/>
        <v>1+0.736174210786441i</v>
      </c>
      <c r="I91" t="str">
        <f t="shared" si="52"/>
        <v>0.0267089977533433-0.0180541535575638i</v>
      </c>
      <c r="J91"/>
      <c r="K91" t="str">
        <f t="shared" si="53"/>
        <v>0.04+0.0016083217844005i</v>
      </c>
      <c r="L91" t="str">
        <f t="shared" si="61"/>
        <v>5.43580907071529+4.0017024526196i</v>
      </c>
      <c r="M91" t="str">
        <f t="shared" si="54"/>
        <v>0.00491352757351882-0.00332133695696344i</v>
      </c>
      <c r="N91" s="153" t="str">
        <f t="shared" si="62"/>
        <v>0.0011+0.00501883073799987i</v>
      </c>
      <c r="O91" s="135" t="str">
        <f t="shared" si="63"/>
        <v>0.000242+0.00110414276235997i</v>
      </c>
      <c r="Q91" s="135" t="str">
        <f t="shared" si="64"/>
        <v>-0.0228128669909085i</v>
      </c>
      <c r="R91" s="135" t="str">
        <f t="shared" si="65"/>
        <v>-0.000210921078169026</v>
      </c>
      <c r="S91" s="64" t="str">
        <f t="shared" si="55"/>
        <v>0.999789078921831-0.0228128669909085i</v>
      </c>
      <c r="T91" s="135" t="str">
        <f t="shared" si="66"/>
        <v>0.00999789078921831-0.000228128669909085i</v>
      </c>
      <c r="U91" s="64" t="str">
        <f t="shared" si="56"/>
        <v>0.0151534183627371-0.00244532286451256i</v>
      </c>
      <c r="W91" s="64" t="str">
        <f t="shared" si="57"/>
        <v>1.90522074281085-0.883977027002988i</v>
      </c>
      <c r="X91" s="172">
        <f t="shared" si="26"/>
        <v>2.1003050881016714</v>
      </c>
      <c r="Y91" s="188">
        <f t="shared" si="27"/>
        <v>6.4456476894909445</v>
      </c>
      <c r="Z91" s="161">
        <f t="shared" si="28"/>
        <v>-24.890176729330374</v>
      </c>
      <c r="AA91" s="161">
        <f t="shared" si="8"/>
        <v>-24.890176729330374</v>
      </c>
      <c r="AB91" s="199"/>
      <c r="AC91" s="64" t="str">
        <f t="shared" si="67"/>
        <v>-4383491.1254185i</v>
      </c>
      <c r="AD91" s="64" t="str">
        <f t="shared" si="68"/>
        <v>22000-438349.11254185i</v>
      </c>
      <c r="AE91" s="64" t="str">
        <f t="shared" si="29"/>
        <v>18181.439697406-398582.147372967i</v>
      </c>
      <c r="AF91" s="64" t="str">
        <f t="shared" si="69"/>
        <v>10000</v>
      </c>
      <c r="AG91" s="64" t="str">
        <f t="shared" si="70"/>
        <v>-112397.208344064i</v>
      </c>
      <c r="AH91" s="64" t="str">
        <f t="shared" si="30"/>
        <v>9921.46472956013-882.714515398737i</v>
      </c>
      <c r="AI91" s="64" t="str">
        <f t="shared" si="31"/>
        <v>5.36433655979898-39.6964541387439i</v>
      </c>
      <c r="AJ91" s="161">
        <f t="shared" si="32"/>
        <v>40.057266231186993</v>
      </c>
      <c r="AK91" s="161">
        <f t="shared" si="33"/>
        <v>32.053626137682073</v>
      </c>
      <c r="AL91" s="161">
        <f t="shared" si="34"/>
        <v>-82.304017924486615</v>
      </c>
      <c r="AN91" s="64" t="str">
        <f t="shared" si="35"/>
        <v>-24.8705082269797-80.3724581251491i</v>
      </c>
      <c r="AO91" s="161">
        <f t="shared" si="36"/>
        <v>84.132480080805365</v>
      </c>
      <c r="AP91" s="161">
        <f t="shared" si="37"/>
        <v>38.49927382717302</v>
      </c>
      <c r="AQ91" s="161">
        <f t="shared" si="38"/>
        <v>-107.19419465381701</v>
      </c>
      <c r="AR91" s="64">
        <f t="shared" si="39"/>
        <v>72.805805346182993</v>
      </c>
      <c r="AT91" s="135" t="str">
        <f t="shared" si="71"/>
        <v>-1371782.07558689i</v>
      </c>
      <c r="AU91" s="135" t="str">
        <f t="shared" si="72"/>
        <v>27456.1383070198-245538.846335586i</v>
      </c>
      <c r="AV91" s="135" t="str">
        <f t="shared" si="40"/>
        <v>19746.5918067831-208596.790436716i</v>
      </c>
      <c r="AW91" s="135" t="str">
        <f t="shared" si="73"/>
        <v>10000</v>
      </c>
      <c r="AX91" s="135" t="str">
        <f t="shared" si="74"/>
        <v>1789.92604368691-105436.708060603i</v>
      </c>
      <c r="AY91" s="135" t="str">
        <f t="shared" si="41"/>
        <v>9895.25560641724-936.723776404325i</v>
      </c>
      <c r="AZ91" s="135" t="str">
        <f t="shared" si="42"/>
        <v>3.95567530574465-20.7060255414942i</v>
      </c>
      <c r="BA91" s="182">
        <f t="shared" si="43"/>
        <v>21.080485308680352</v>
      </c>
      <c r="BB91" s="182">
        <f t="shared" si="44"/>
        <v>26.477612097087004</v>
      </c>
      <c r="BC91" s="182">
        <f t="shared" si="45"/>
        <v>-79.18454263102808</v>
      </c>
      <c r="BE91" s="135" t="str">
        <f t="shared" si="46"/>
        <v>-10.7672162548886-42.9462754593873i</v>
      </c>
      <c r="BF91" s="161">
        <f t="shared" si="47"/>
        <v>44.275450553473867</v>
      </c>
      <c r="BG91" s="161">
        <f t="shared" si="48"/>
        <v>32.923259786577944</v>
      </c>
      <c r="BH91" s="161">
        <f t="shared" si="49"/>
        <v>-104.07471936035842</v>
      </c>
      <c r="BI91" s="64">
        <f t="shared" si="50"/>
        <v>75.925280639641585</v>
      </c>
      <c r="BS91" s="64">
        <v>4365.1583224016504</v>
      </c>
      <c r="BT91" s="64">
        <v>10.561459246103</v>
      </c>
      <c r="BU91" s="64">
        <v>-24.113971150352899</v>
      </c>
      <c r="BV91" s="186">
        <v>3630.7805477010188</v>
      </c>
      <c r="BW91" s="64">
        <v>10.449540860238869</v>
      </c>
      <c r="BX91" s="64">
        <v>-19.690605450911526</v>
      </c>
      <c r="BZ91" s="64">
        <v>4365.1583224016504</v>
      </c>
      <c r="CA91" s="64">
        <v>5.4299103501700596</v>
      </c>
      <c r="CB91" s="64">
        <v>-33.1828608961806</v>
      </c>
      <c r="CC91" s="186">
        <v>3630.7805477010188</v>
      </c>
      <c r="CD91" s="64">
        <v>6.0165773407609402</v>
      </c>
      <c r="CE91" s="64">
        <v>-28.984914794744046</v>
      </c>
      <c r="CG91" s="64">
        <v>4365.1583224016504</v>
      </c>
      <c r="CH91" s="64">
        <v>11.004063817698601</v>
      </c>
      <c r="CI91" s="64">
        <v>-39.593692061361999</v>
      </c>
      <c r="CJ91" s="64">
        <v>3630.7805477010188</v>
      </c>
      <c r="CK91" s="64">
        <v>11.367823757338595</v>
      </c>
      <c r="CL91" s="64">
        <v>-32.949322258683175</v>
      </c>
      <c r="CN91" s="64">
        <v>4365.1583224016504</v>
      </c>
      <c r="CO91" s="64">
        <v>5.8251649702197899</v>
      </c>
      <c r="CP91" s="64">
        <v>-35.540972589896</v>
      </c>
      <c r="CQ91" s="186">
        <v>3630.7805477010188</v>
      </c>
      <c r="CR91" s="64">
        <v>6.0935565425182912</v>
      </c>
      <c r="CS91" s="64">
        <v>-30.1736273840101</v>
      </c>
      <c r="CU91" s="64">
        <v>4365.1583224016504</v>
      </c>
      <c r="CV91" s="64">
        <v>3.8641719267683601</v>
      </c>
      <c r="CW91" s="64">
        <v>-27.966622981979398</v>
      </c>
      <c r="CX91" s="139">
        <v>3630.7805477010188</v>
      </c>
      <c r="CY91" s="64">
        <v>4.3374921396772468</v>
      </c>
      <c r="CZ91" s="64">
        <v>-24.17749596411447</v>
      </c>
    </row>
    <row r="92" spans="2:104">
      <c r="B92" s="135">
        <f t="shared" si="58"/>
        <v>3.6000000000000005</v>
      </c>
      <c r="C92" s="139">
        <f t="shared" si="17"/>
        <v>3981.0717055349769</v>
      </c>
      <c r="D92" s="139">
        <f t="shared" si="18"/>
        <v>25013.811247045742</v>
      </c>
      <c r="E92" s="32" t="str">
        <f t="shared" si="19"/>
        <v>25013.8112470457i</v>
      </c>
      <c r="F92"/>
      <c r="G92" s="153" t="str">
        <f t="shared" si="59"/>
        <v>0.04+0.00176306351502471i</v>
      </c>
      <c r="H92" s="153" t="str">
        <f t="shared" si="60"/>
        <v>1+0.807069165863868i</v>
      </c>
      <c r="I92" t="str">
        <f t="shared" si="52"/>
        <v>0.0250841113897193-0.0184815493407124i</v>
      </c>
      <c r="J92"/>
      <c r="K92" t="str">
        <f t="shared" si="53"/>
        <v>0.04+0.00176306351502471i</v>
      </c>
      <c r="L92" t="str">
        <f t="shared" si="61"/>
        <v>5.43580907071529+4.38707389249743i</v>
      </c>
      <c r="M92" t="str">
        <f t="shared" si="54"/>
        <v>0.00461460493983439-0.00339996293105277i</v>
      </c>
      <c r="N92" s="153" t="str">
        <f t="shared" si="62"/>
        <v>0.0011+0.00550303847435005i</v>
      </c>
      <c r="O92" s="135" t="str">
        <f t="shared" si="63"/>
        <v>0.000242+0.00121066846435701i</v>
      </c>
      <c r="Q92" s="135" t="str">
        <f t="shared" si="64"/>
        <v>-0.0250138112470457i</v>
      </c>
      <c r="R92" s="135" t="str">
        <f t="shared" si="65"/>
        <v>-0.000253582910793778</v>
      </c>
      <c r="S92" s="64" t="str">
        <f t="shared" si="55"/>
        <v>0.999746417089206-0.0250138112470457i</v>
      </c>
      <c r="T92" s="135" t="str">
        <f t="shared" si="66"/>
        <v>0.00999746417089206-0.000250138112470457i</v>
      </c>
      <c r="U92" s="64" t="str">
        <f t="shared" si="56"/>
        <v>0.0148540691107264-0.00243943257916622i</v>
      </c>
      <c r="W92" s="64" t="str">
        <f t="shared" si="57"/>
        <v>1.84331998304193-0.941485758279732i</v>
      </c>
      <c r="X92" s="172">
        <f t="shared" si="26"/>
        <v>2.0698367068262322</v>
      </c>
      <c r="Y92" s="188">
        <f t="shared" si="27"/>
        <v>6.3187216905719357</v>
      </c>
      <c r="Z92" s="161">
        <f t="shared" si="28"/>
        <v>-27.055921579656975</v>
      </c>
      <c r="AA92" s="161">
        <f t="shared" si="8"/>
        <v>-27.055921579656975</v>
      </c>
      <c r="AB92" s="199"/>
      <c r="AC92" s="64" t="str">
        <f t="shared" si="67"/>
        <v>-3997791.42060211i</v>
      </c>
      <c r="AD92" s="64" t="str">
        <f t="shared" si="68"/>
        <v>22000-399779.142060211i</v>
      </c>
      <c r="AE92" s="64" t="str">
        <f t="shared" si="29"/>
        <v>18181.3631453862-363526.540728287i</v>
      </c>
      <c r="AF92" s="64" t="str">
        <f t="shared" si="69"/>
        <v>10000</v>
      </c>
      <c r="AG92" s="64" t="str">
        <f t="shared" si="70"/>
        <v>-102507.472323131i</v>
      </c>
      <c r="AH92" s="64" t="str">
        <f t="shared" si="30"/>
        <v>9905.72958502384-966.342195405846i</v>
      </c>
      <c r="AI92" s="64" t="str">
        <f t="shared" si="31"/>
        <v>5.36447818103548-36.175287850315i</v>
      </c>
      <c r="AJ92" s="161">
        <f t="shared" si="32"/>
        <v>36.570877446514103</v>
      </c>
      <c r="AK92" s="161">
        <f t="shared" si="33"/>
        <v>31.26270761015585</v>
      </c>
      <c r="AL92" s="161">
        <f t="shared" si="34"/>
        <v>-81.565008835250268</v>
      </c>
      <c r="AN92" s="64" t="str">
        <f t="shared" si="35"/>
        <v>-24.1700684830463-71.7332107948268i</v>
      </c>
      <c r="AO92" s="161">
        <f t="shared" si="36"/>
        <v>75.695744539638454</v>
      </c>
      <c r="AP92" s="161">
        <f t="shared" si="37"/>
        <v>37.581429300727784</v>
      </c>
      <c r="AQ92" s="161">
        <f t="shared" si="38"/>
        <v>-108.62093041490725</v>
      </c>
      <c r="AR92" s="64">
        <f t="shared" si="39"/>
        <v>71.379069585092751</v>
      </c>
      <c r="AT92" s="135" t="str">
        <f t="shared" si="71"/>
        <v>-1251080.12216939i</v>
      </c>
      <c r="AU92" s="135" t="str">
        <f t="shared" si="72"/>
        <v>27456.1383070198-223934.089341i</v>
      </c>
      <c r="AV92" s="135" t="str">
        <f t="shared" si="40"/>
        <v>19745.4411449162-190304.350441616i</v>
      </c>
      <c r="AW92" s="135" t="str">
        <f t="shared" si="73"/>
        <v>10000</v>
      </c>
      <c r="AX92" s="135" t="str">
        <f t="shared" si="74"/>
        <v>1789.92604368691-96159.4206172742i</v>
      </c>
      <c r="AY92" s="135" t="str">
        <f t="shared" si="41"/>
        <v>9874.38330893651-1024.53808342529i</v>
      </c>
      <c r="AZ92" s="135" t="str">
        <f t="shared" si="42"/>
        <v>3.95673006645458-18.8619910707881i</v>
      </c>
      <c r="BA92" s="182">
        <f t="shared" si="43"/>
        <v>19.272530191266419</v>
      </c>
      <c r="BB92" s="182">
        <f t="shared" si="44"/>
        <v>25.69877469370164</v>
      </c>
      <c r="BC92" s="182">
        <f t="shared" si="45"/>
        <v>-78.152696826762337</v>
      </c>
      <c r="BE92" s="135" t="str">
        <f t="shared" si="46"/>
        <v>-10.4647763669479-38.4938900676664i</v>
      </c>
      <c r="BF92" s="161">
        <f t="shared" si="47"/>
        <v>39.89099042330006</v>
      </c>
      <c r="BG92" s="161">
        <f t="shared" si="48"/>
        <v>32.017496384273585</v>
      </c>
      <c r="BH92" s="161">
        <f t="shared" si="49"/>
        <v>-105.20861840641926</v>
      </c>
      <c r="BI92" s="64">
        <f t="shared" si="50"/>
        <v>74.791381593580738</v>
      </c>
      <c r="BS92" s="64">
        <v>4786.3009232263803</v>
      </c>
      <c r="BT92" s="64">
        <v>10.491429513066899</v>
      </c>
      <c r="BU92" s="64">
        <v>-26.4233391314534</v>
      </c>
      <c r="BV92" s="186">
        <v>3981.0717055349769</v>
      </c>
      <c r="BW92" s="64">
        <v>10.408192274649489</v>
      </c>
      <c r="BX92" s="64">
        <v>-21.598628888659171</v>
      </c>
      <c r="BZ92" s="64">
        <v>4786.3009232263803</v>
      </c>
      <c r="CA92" s="64">
        <v>5.1998731103989799</v>
      </c>
      <c r="CB92" s="64">
        <v>-35.763771143302499</v>
      </c>
      <c r="CC92" s="186">
        <v>3981.0717055349769</v>
      </c>
      <c r="CD92" s="64">
        <v>5.8327999187373347</v>
      </c>
      <c r="CE92" s="64">
        <v>-31.346115568889822</v>
      </c>
      <c r="CG92" s="64">
        <v>4786.3009232263803</v>
      </c>
      <c r="CH92" s="64">
        <v>11.0302566656986</v>
      </c>
      <c r="CI92" s="64">
        <v>-44.533691477717703</v>
      </c>
      <c r="CJ92" s="64">
        <v>3981.0717055349769</v>
      </c>
      <c r="CK92" s="64">
        <v>11.392970181032357</v>
      </c>
      <c r="CL92" s="64">
        <v>-36.742724722542945</v>
      </c>
      <c r="CN92" s="64">
        <v>4786.3009232263803</v>
      </c>
      <c r="CO92" s="64">
        <v>5.5777409637791502</v>
      </c>
      <c r="CP92" s="64">
        <v>-38.283431003198402</v>
      </c>
      <c r="CQ92" s="186">
        <v>3981.0717055349769</v>
      </c>
      <c r="CR92" s="64">
        <v>5.9116176027908303</v>
      </c>
      <c r="CS92" s="64">
        <v>-32.667437471086764</v>
      </c>
      <c r="CU92" s="64">
        <v>4786.3009232263803</v>
      </c>
      <c r="CV92" s="64">
        <v>3.70457741961732</v>
      </c>
      <c r="CW92" s="64">
        <v>-30.321427154336</v>
      </c>
      <c r="CX92" s="139">
        <v>3981.0717055349769</v>
      </c>
      <c r="CY92" s="64">
        <v>4.2131789486498521</v>
      </c>
      <c r="CZ92" s="64">
        <v>-26.276606105342289</v>
      </c>
    </row>
    <row r="93" spans="2:104">
      <c r="B93" s="135">
        <f t="shared" si="58"/>
        <v>3.6400000000000006</v>
      </c>
      <c r="C93" s="139">
        <f t="shared" si="17"/>
        <v>4365.1583224016704</v>
      </c>
      <c r="D93" s="139">
        <f t="shared" si="18"/>
        <v>27427.098634826867</v>
      </c>
      <c r="E93" s="32" t="str">
        <f t="shared" si="19"/>
        <v>27427.0986348269i</v>
      </c>
      <c r="F93"/>
      <c r="G93" s="153" t="str">
        <f t="shared" si="59"/>
        <v>0.04+0.00193259909694242i</v>
      </c>
      <c r="H93" s="153" t="str">
        <f t="shared" si="60"/>
        <v>1+0.884762720978928i</v>
      </c>
      <c r="I93" t="str">
        <f t="shared" si="52"/>
        <v>0.0233956545673422-0.0187670038971423i</v>
      </c>
      <c r="J93"/>
      <c r="K93" t="str">
        <f t="shared" si="53"/>
        <v>0.04+0.00193259909694242i</v>
      </c>
      <c r="L93" t="str">
        <f t="shared" si="61"/>
        <v>5.43580907071529+4.80940122412799i</v>
      </c>
      <c r="M93" t="str">
        <f t="shared" si="54"/>
        <v>0.00430398755051631-0.00345247665122146i</v>
      </c>
      <c r="N93" s="153" t="str">
        <f t="shared" si="62"/>
        <v>0.0011+0.00603396169966192i</v>
      </c>
      <c r="O93" s="135" t="str">
        <f t="shared" si="63"/>
        <v>0.000242+0.00132747157392562i</v>
      </c>
      <c r="Q93" s="135" t="str">
        <f t="shared" si="64"/>
        <v>-0.0274270986348269i</v>
      </c>
      <c r="R93" s="135" t="str">
        <f t="shared" si="65"/>
        <v>-0.000304873714874122</v>
      </c>
      <c r="S93" s="64" t="str">
        <f t="shared" si="55"/>
        <v>0.999695126285126-0.0274270986348269i</v>
      </c>
      <c r="T93" s="135" t="str">
        <f t="shared" si="66"/>
        <v>0.00999695126285126-0.000274270986348269i</v>
      </c>
      <c r="U93" s="64" t="str">
        <f t="shared" si="56"/>
        <v>0.0145429388133676-0.00239927606364411i</v>
      </c>
      <c r="W93" s="64" t="str">
        <f t="shared" si="57"/>
        <v>1.7733598202649-0.997888000107181i</v>
      </c>
      <c r="X93" s="172">
        <f t="shared" si="26"/>
        <v>2.0348428717932663</v>
      </c>
      <c r="Y93" s="188">
        <f t="shared" si="27"/>
        <v>6.1706175827945913</v>
      </c>
      <c r="Z93" s="161">
        <f t="shared" si="28"/>
        <v>-29.366909915088044</v>
      </c>
      <c r="AA93" s="161">
        <f t="shared" si="8"/>
        <v>-29.366909915088044</v>
      </c>
      <c r="AB93" s="199"/>
      <c r="AC93" s="64" t="str">
        <f t="shared" si="67"/>
        <v>-3646029.10907318i</v>
      </c>
      <c r="AD93" s="64" t="str">
        <f t="shared" si="68"/>
        <v>22000-364602.910907318i</v>
      </c>
      <c r="AE93" s="64" t="str">
        <f t="shared" si="29"/>
        <v>18181.2711104689-331556.923637137i</v>
      </c>
      <c r="AF93" s="64" t="str">
        <f t="shared" si="69"/>
        <v>10000</v>
      </c>
      <c r="AG93" s="64" t="str">
        <f t="shared" si="70"/>
        <v>-93487.9258736713i</v>
      </c>
      <c r="AH93" s="64" t="str">
        <f t="shared" si="30"/>
        <v>9886.87772931751-1057.55664562261i</v>
      </c>
      <c r="AI93" s="64" t="str">
        <f t="shared" si="31"/>
        <v>5.36464844563254-32.9612151524529i</v>
      </c>
      <c r="AJ93" s="161">
        <f t="shared" si="32"/>
        <v>33.394927118823283</v>
      </c>
      <c r="AK93" s="161">
        <f t="shared" si="33"/>
        <v>30.473609999927373</v>
      </c>
      <c r="AL93" s="161">
        <f t="shared" si="34"/>
        <v>-80.755802105192856</v>
      </c>
      <c r="AN93" s="64" t="str">
        <f t="shared" si="35"/>
        <v>-23.3781490662524-63.8054128871569i</v>
      </c>
      <c r="AO93" s="161">
        <f t="shared" si="36"/>
        <v>67.953429401793144</v>
      </c>
      <c r="AP93" s="161">
        <f t="shared" si="37"/>
        <v>36.64422758272196</v>
      </c>
      <c r="AQ93" s="161">
        <f t="shared" si="38"/>
        <v>-110.12271202028087</v>
      </c>
      <c r="AR93" s="64">
        <f t="shared" si="39"/>
        <v>69.877287979719128</v>
      </c>
      <c r="AT93" s="135" t="str">
        <f t="shared" si="71"/>
        <v>-1140998.6323212i</v>
      </c>
      <c r="AU93" s="135" t="str">
        <f t="shared" si="72"/>
        <v>27456.1383070198-204230.316780286i</v>
      </c>
      <c r="AV93" s="135" t="str">
        <f t="shared" si="40"/>
        <v>19744.0579225953-173627.402135453i</v>
      </c>
      <c r="AW93" s="135" t="str">
        <f t="shared" si="73"/>
        <v>10000</v>
      </c>
      <c r="AX93" s="135" t="str">
        <f t="shared" si="74"/>
        <v>1789.92604368691-87698.4339091381i</v>
      </c>
      <c r="AY93" s="135" t="str">
        <f t="shared" si="41"/>
        <v>9849.42657160872-1120.02855737299i</v>
      </c>
      <c r="AZ93" s="135" t="str">
        <f t="shared" si="42"/>
        <v>3.9579978067506-17.1780895397079i</v>
      </c>
      <c r="BA93" s="182">
        <f t="shared" si="43"/>
        <v>17.628173668093488</v>
      </c>
      <c r="BB93" s="182">
        <f t="shared" si="44"/>
        <v>24.924146408261095</v>
      </c>
      <c r="BC93" s="182">
        <f t="shared" si="45"/>
        <v>-77.024944852020084</v>
      </c>
      <c r="BE93" s="135" t="str">
        <f t="shared" si="46"/>
        <v>-10.1228551372531-34.4125722944377i</v>
      </c>
      <c r="BF93" s="161">
        <f t="shared" si="47"/>
        <v>35.870563531253765</v>
      </c>
      <c r="BG93" s="161">
        <f t="shared" si="48"/>
        <v>31.094763991055679</v>
      </c>
      <c r="BH93" s="161">
        <f t="shared" si="49"/>
        <v>-106.39185476710814</v>
      </c>
      <c r="BI93" s="64">
        <f t="shared" si="50"/>
        <v>73.608145232891857</v>
      </c>
      <c r="BS93" s="64">
        <v>5248.0746024977198</v>
      </c>
      <c r="BT93" s="64">
        <v>10.4062870986092</v>
      </c>
      <c r="BU93" s="64">
        <v>-28.9461354139859</v>
      </c>
      <c r="BV93" s="186">
        <v>4365.1583224016704</v>
      </c>
      <c r="BW93" s="64">
        <v>10.357670547178143</v>
      </c>
      <c r="BX93" s="64">
        <v>-23.691269090658214</v>
      </c>
      <c r="BZ93" s="64">
        <v>5248.0746024977198</v>
      </c>
      <c r="CA93" s="64">
        <v>4.9383579996361702</v>
      </c>
      <c r="CB93" s="64">
        <v>-38.450686221808098</v>
      </c>
      <c r="CC93" s="186">
        <v>4365.1583224016704</v>
      </c>
      <c r="CD93" s="64">
        <v>5.6216152925511462</v>
      </c>
      <c r="CE93" s="64">
        <v>-33.8274763727199</v>
      </c>
      <c r="CG93" s="64">
        <v>5248.0746024977198</v>
      </c>
      <c r="CH93" s="64">
        <v>11.019275842366801</v>
      </c>
      <c r="CI93" s="64">
        <v>-50.221990500752497</v>
      </c>
      <c r="CJ93" s="64">
        <v>4365.1583224016704</v>
      </c>
      <c r="CK93" s="64">
        <v>11.40439037001503</v>
      </c>
      <c r="CL93" s="64">
        <v>-41.068671874396657</v>
      </c>
      <c r="CN93" s="64">
        <v>5248.0746024977198</v>
      </c>
      <c r="CO93" s="64">
        <v>5.2972199855486499</v>
      </c>
      <c r="CP93" s="64">
        <v>-41.135727562849802</v>
      </c>
      <c r="CQ93" s="186">
        <v>4365.1583224016704</v>
      </c>
      <c r="CR93" s="64">
        <v>5.7021087062061468</v>
      </c>
      <c r="CS93" s="64">
        <v>-35.297686447007329</v>
      </c>
      <c r="CU93" s="64">
        <v>5248.0746024977198</v>
      </c>
      <c r="CV93" s="64">
        <v>3.5199666690172799</v>
      </c>
      <c r="CW93" s="64">
        <v>-32.8151434693537</v>
      </c>
      <c r="CX93" s="139">
        <v>4365.1583224016704</v>
      </c>
      <c r="CY93" s="64">
        <v>4.0681937565358153</v>
      </c>
      <c r="CZ93" s="64">
        <v>-28.515158907975305</v>
      </c>
    </row>
    <row r="94" spans="2:104">
      <c r="B94" s="135">
        <f t="shared" si="58"/>
        <v>3.6800000000000006</v>
      </c>
      <c r="C94" s="139">
        <f t="shared" si="17"/>
        <v>4786.3009232263939</v>
      </c>
      <c r="D94" s="139">
        <f t="shared" si="18"/>
        <v>30073.215636556168</v>
      </c>
      <c r="E94" s="32" t="str">
        <f t="shared" si="19"/>
        <v>30073.2156365562i</v>
      </c>
      <c r="F94"/>
      <c r="G94" s="153" t="str">
        <f t="shared" si="59"/>
        <v>0.04+0.00211831291643623i</v>
      </c>
      <c r="H94" s="153" t="str">
        <f t="shared" si="60"/>
        <v>1+0.969897729899101i</v>
      </c>
      <c r="I94" t="str">
        <f t="shared" si="52"/>
        <v>0.0216697645577282-0.0188991425355524i</v>
      </c>
      <c r="J94"/>
      <c r="K94" t="str">
        <f t="shared" si="53"/>
        <v>0.04+0.00211831291643623i</v>
      </c>
      <c r="L94" t="str">
        <f t="shared" si="61"/>
        <v>5.43580907071529+5.2721788778517i</v>
      </c>
      <c r="M94" t="str">
        <f t="shared" si="54"/>
        <v>0.0039864837553753-0.00347678556948753i</v>
      </c>
      <c r="N94" s="153" t="str">
        <f t="shared" si="62"/>
        <v>0.0011+0.00661610744004236i</v>
      </c>
      <c r="O94" s="135" t="str">
        <f t="shared" si="63"/>
        <v>0.000242+0.00145554363680932i</v>
      </c>
      <c r="Q94" s="135" t="str">
        <f t="shared" si="64"/>
        <v>-0.0300732156365562i</v>
      </c>
      <c r="R94" s="135" t="str">
        <f t="shared" si="65"/>
        <v>-0.000366538824442846</v>
      </c>
      <c r="S94" s="64" t="str">
        <f t="shared" si="55"/>
        <v>0.999633461175557-0.0300732156365562i</v>
      </c>
      <c r="T94" s="135" t="str">
        <f t="shared" si="66"/>
        <v>0.00999633461175557-0.000300732156365562i</v>
      </c>
      <c r="U94" s="64" t="str">
        <f t="shared" si="56"/>
        <v>0.0142248183671309-0.00232197408904377i</v>
      </c>
      <c r="W94" s="64" t="str">
        <f t="shared" si="57"/>
        <v>1.69508440069716-1.05190801683391i</v>
      </c>
      <c r="X94" s="172">
        <f t="shared" si="26"/>
        <v>1.994949022247511</v>
      </c>
      <c r="Y94" s="188">
        <f t="shared" si="27"/>
        <v>5.9986360491824442</v>
      </c>
      <c r="Z94" s="161">
        <f t="shared" si="28"/>
        <v>-31.822240762812655</v>
      </c>
      <c r="AA94" s="161">
        <f t="shared" si="8"/>
        <v>-31.822240762812655</v>
      </c>
      <c r="AB94" s="199"/>
      <c r="AC94" s="64" t="str">
        <f t="shared" si="67"/>
        <v>-3325218.06808191i</v>
      </c>
      <c r="AD94" s="64" t="str">
        <f t="shared" si="68"/>
        <v>22000-332521.806808191i</v>
      </c>
      <c r="AE94" s="64" t="str">
        <f t="shared" si="29"/>
        <v>18181.1604613946-302401.904835626i</v>
      </c>
      <c r="AF94" s="64" t="str">
        <f t="shared" si="69"/>
        <v>10000</v>
      </c>
      <c r="AG94" s="64" t="str">
        <f t="shared" si="70"/>
        <v>-85262.00174569i</v>
      </c>
      <c r="AH94" s="64" t="str">
        <f t="shared" si="30"/>
        <v>9864.307589736-1156.94065208065i</v>
      </c>
      <c r="AI94" s="64" t="str">
        <f t="shared" si="31"/>
        <v>5.36485314642004-30.026951759522i</v>
      </c>
      <c r="AJ94" s="161">
        <f t="shared" si="32"/>
        <v>30.502450413881736</v>
      </c>
      <c r="AK94" s="161">
        <f t="shared" si="33"/>
        <v>29.686694595774913</v>
      </c>
      <c r="AL94" s="161">
        <f t="shared" si="34"/>
        <v>-79.869970484338197</v>
      </c>
      <c r="AN94" s="64" t="str">
        <f t="shared" si="35"/>
        <v>-22.4917123963986-56.5415495619077i</v>
      </c>
      <c r="AO94" s="161">
        <f t="shared" si="36"/>
        <v>60.850833629326523</v>
      </c>
      <c r="AP94" s="161">
        <f t="shared" si="37"/>
        <v>35.685330644957354</v>
      </c>
      <c r="AQ94" s="161">
        <f t="shared" si="38"/>
        <v>-111.69221124715085</v>
      </c>
      <c r="AR94" s="64">
        <f t="shared" si="39"/>
        <v>68.307788752849149</v>
      </c>
      <c r="AT94" s="135" t="str">
        <f t="shared" si="71"/>
        <v>-1040603.1203672i</v>
      </c>
      <c r="AU94" s="135" t="str">
        <f t="shared" si="72"/>
        <v>27456.1383070198-186260.262628712i</v>
      </c>
      <c r="AV94" s="135" t="str">
        <f t="shared" si="40"/>
        <v>19742.3951801307-158424.37154641i</v>
      </c>
      <c r="AW94" s="135" t="str">
        <f t="shared" si="73"/>
        <v>10000</v>
      </c>
      <c r="AX94" s="135" t="str">
        <f t="shared" si="74"/>
        <v>1789.92604368691-79981.9223196718i</v>
      </c>
      <c r="AY94" s="135" t="str">
        <f t="shared" si="41"/>
        <v>9819.61861741311-1223.69297962685i</v>
      </c>
      <c r="AZ94" s="135" t="str">
        <f t="shared" si="42"/>
        <v>3.9595214441996-15.6400303246115i</v>
      </c>
      <c r="BA94" s="182">
        <f t="shared" si="43"/>
        <v>16.133454640028084</v>
      </c>
      <c r="BB94" s="182">
        <f t="shared" si="44"/>
        <v>24.154547447540565</v>
      </c>
      <c r="BC94" s="182">
        <f t="shared" si="45"/>
        <v>-75.793164696038687</v>
      </c>
      <c r="BE94" s="135" t="str">
        <f t="shared" si="46"/>
        <v>-9.74015024769567-30.6762237796588i</v>
      </c>
      <c r="BF94" s="161">
        <f t="shared" si="47"/>
        <v>32.185419559598571</v>
      </c>
      <c r="BG94" s="161">
        <f t="shared" si="48"/>
        <v>30.153183496723003</v>
      </c>
      <c r="BH94" s="161">
        <f t="shared" si="49"/>
        <v>-107.61540545885136</v>
      </c>
      <c r="BI94" s="64">
        <f t="shared" si="50"/>
        <v>72.384594541148644</v>
      </c>
      <c r="BS94" s="64">
        <v>5754.3993733715597</v>
      </c>
      <c r="BT94" s="64">
        <v>10.3027074159438</v>
      </c>
      <c r="BU94" s="64">
        <v>-31.698015854349102</v>
      </c>
      <c r="BV94" s="186">
        <v>4786.3009232263939</v>
      </c>
      <c r="BW94" s="64">
        <v>10.295821966859533</v>
      </c>
      <c r="BX94" s="64">
        <v>-25.985369634616308</v>
      </c>
      <c r="BZ94" s="64">
        <v>5754.3993733715597</v>
      </c>
      <c r="CA94" s="64">
        <v>4.6432392581639297</v>
      </c>
      <c r="CB94" s="64">
        <v>-41.229634983097498</v>
      </c>
      <c r="CC94" s="186">
        <v>4786.3009232263939</v>
      </c>
      <c r="CD94" s="64">
        <v>5.3805192825729549</v>
      </c>
      <c r="CE94" s="64">
        <v>-36.419490064349795</v>
      </c>
      <c r="CG94" s="64">
        <v>5754.3993733715597</v>
      </c>
      <c r="CH94" s="64">
        <v>10.945372577198</v>
      </c>
      <c r="CI94" s="64">
        <v>-56.740635672164899</v>
      </c>
      <c r="CJ94" s="64">
        <v>4786.3009232263939</v>
      </c>
      <c r="CK94" s="64">
        <v>11.39074644087402</v>
      </c>
      <c r="CL94" s="64">
        <v>-46.007280215342085</v>
      </c>
      <c r="CN94" s="64">
        <v>5754.3993733715597</v>
      </c>
      <c r="CO94" s="64">
        <v>4.9815330043252803</v>
      </c>
      <c r="CP94" s="64">
        <v>-44.083448897039098</v>
      </c>
      <c r="CQ94" s="186">
        <v>4786.3009232263939</v>
      </c>
      <c r="CR94" s="64">
        <v>5.4623600824647198</v>
      </c>
      <c r="CS94" s="64">
        <v>-38.05672150198928</v>
      </c>
      <c r="CU94" s="64">
        <v>5754.3993733715597</v>
      </c>
      <c r="CV94" s="64">
        <v>3.3076664462103502</v>
      </c>
      <c r="CW94" s="64">
        <v>-35.442465619125102</v>
      </c>
      <c r="CX94" s="139">
        <v>4786.3009232263939</v>
      </c>
      <c r="CY94" s="64">
        <v>3.8999314970191756</v>
      </c>
      <c r="CZ94" s="64">
        <v>-30.891872000916351</v>
      </c>
    </row>
    <row r="95" spans="2:104">
      <c r="B95" s="135">
        <f t="shared" si="58"/>
        <v>3.7200000000000006</v>
      </c>
      <c r="C95" s="139">
        <f t="shared" si="17"/>
        <v>5248.0746024977352</v>
      </c>
      <c r="D95" s="139">
        <f t="shared" si="18"/>
        <v>32974.625233396117</v>
      </c>
      <c r="E95" s="32" t="str">
        <f t="shared" si="19"/>
        <v>32974.6252333961i</v>
      </c>
      <c r="F95"/>
      <c r="G95" s="153" t="str">
        <f t="shared" si="59"/>
        <v>0.04+0.0023217093745486i</v>
      </c>
      <c r="H95" s="153" t="str">
        <f t="shared" si="60"/>
        <v>1+1.06317494233678i</v>
      </c>
      <c r="I95" t="str">
        <f t="shared" si="52"/>
        <v>0.0199350170078047-0.0188727011832069i</v>
      </c>
      <c r="J95"/>
      <c r="K95" t="str">
        <f t="shared" si="53"/>
        <v>0.04+0.0023217093745486i</v>
      </c>
      <c r="L95" t="str">
        <f t="shared" si="61"/>
        <v>5.43580907071529+5.77921599531147i</v>
      </c>
      <c r="M95" t="str">
        <f t="shared" si="54"/>
        <v>0.00366735048057556-0.00347192127936964i</v>
      </c>
      <c r="N95" s="153" t="str">
        <f t="shared" si="62"/>
        <v>0.0011+0.00725441755134714i</v>
      </c>
      <c r="O95" s="135" t="str">
        <f t="shared" si="63"/>
        <v>0.000242+0.00159597186129637i</v>
      </c>
      <c r="Q95" s="135" t="str">
        <f t="shared" si="64"/>
        <v>-0.0329746252333961i</v>
      </c>
      <c r="R95" s="135" t="str">
        <f t="shared" si="65"/>
        <v>-0.000440676592534106</v>
      </c>
      <c r="S95" s="64" t="str">
        <f t="shared" si="55"/>
        <v>0.999559323407466-0.0329746252333961i</v>
      </c>
      <c r="T95" s="135" t="str">
        <f t="shared" si="66"/>
        <v>0.00999559323407466-0.000329746252333961i</v>
      </c>
      <c r="U95" s="64" t="str">
        <f t="shared" si="56"/>
        <v>0.0139049437146502-0.00220569567040723i</v>
      </c>
      <c r="W95" s="64" t="str">
        <f t="shared" si="57"/>
        <v>1.60848906766821-1.10211620595109i</v>
      </c>
      <c r="X95" s="172">
        <f t="shared" si="26"/>
        <v>1.949845432906971</v>
      </c>
      <c r="Y95" s="188">
        <f t="shared" si="27"/>
        <v>5.8000037113922183</v>
      </c>
      <c r="Z95" s="161">
        <f t="shared" si="28"/>
        <v>-34.418445108935153</v>
      </c>
      <c r="AA95" s="161">
        <f t="shared" si="8"/>
        <v>-34.418445108935153</v>
      </c>
      <c r="AB95" s="199"/>
      <c r="AC95" s="64" t="str">
        <f t="shared" si="67"/>
        <v>-3032634.92131282i</v>
      </c>
      <c r="AD95" s="64" t="str">
        <f t="shared" si="68"/>
        <v>22000-303263.492131282i</v>
      </c>
      <c r="AE95" s="64" t="str">
        <f t="shared" si="29"/>
        <v>18181.0274337307-275813.986268908i</v>
      </c>
      <c r="AF95" s="64" t="str">
        <f t="shared" si="69"/>
        <v>10000</v>
      </c>
      <c r="AG95" s="64" t="str">
        <f t="shared" si="70"/>
        <v>-77759.8697772518i</v>
      </c>
      <c r="AH95" s="64" t="str">
        <f t="shared" si="30"/>
        <v>9837.30836047655-1265.08807031907i</v>
      </c>
      <c r="AI95" s="64" t="str">
        <f t="shared" si="31"/>
        <v>5.36509924759814-27.3475887261565i</v>
      </c>
      <c r="AJ95" s="161">
        <f t="shared" si="32"/>
        <v>27.868887654005501</v>
      </c>
      <c r="AK95" s="161">
        <f t="shared" si="33"/>
        <v>28.902392696571013</v>
      </c>
      <c r="AL95" s="161">
        <f t="shared" si="34"/>
        <v>-78.900573655089119</v>
      </c>
      <c r="AN95" s="64" t="str">
        <f t="shared" si="35"/>
        <v>-21.5105172420659-49.901260320423i</v>
      </c>
      <c r="AO95" s="161">
        <f t="shared" si="36"/>
        <v>54.340023312360088</v>
      </c>
      <c r="AP95" s="161">
        <f t="shared" si="37"/>
        <v>34.702396407963228</v>
      </c>
      <c r="AQ95" s="161">
        <f t="shared" si="38"/>
        <v>-113.31901876402432</v>
      </c>
      <c r="AR95" s="64">
        <f t="shared" si="39"/>
        <v>66.680981235975679</v>
      </c>
      <c r="AT95" s="135" t="str">
        <f t="shared" si="71"/>
        <v>-949041.325242474i</v>
      </c>
      <c r="AU95" s="135" t="str">
        <f t="shared" si="72"/>
        <v>27456.1383070198-169871.378458664i</v>
      </c>
      <c r="AV95" s="135" t="str">
        <f t="shared" si="40"/>
        <v>19740.3964947156-144566.195963734i</v>
      </c>
      <c r="AW95" s="135" t="str">
        <f t="shared" si="73"/>
        <v>10000</v>
      </c>
      <c r="AX95" s="135" t="str">
        <f t="shared" si="74"/>
        <v>1789.92604368691-72944.3801080631i</v>
      </c>
      <c r="AY95" s="135" t="str">
        <f t="shared" si="41"/>
        <v>9784.06273829123-1336.00581031745i</v>
      </c>
      <c r="AZ95" s="135" t="str">
        <f t="shared" si="42"/>
        <v>3.96135250564215-14.2347621560534i</v>
      </c>
      <c r="BA95" s="182">
        <f t="shared" si="43"/>
        <v>14.775681619247463</v>
      </c>
      <c r="BB95" s="182">
        <f t="shared" si="44"/>
        <v>23.390950490422711</v>
      </c>
      <c r="BC95" s="182">
        <f t="shared" si="45"/>
        <v>-74.448794129853027</v>
      </c>
      <c r="BE95" s="135" t="str">
        <f t="shared" si="46"/>
        <v>-9.31656986154026-27.2623301028222i</v>
      </c>
      <c r="BF95" s="161">
        <f t="shared" si="47"/>
        <v>28.810295323377126</v>
      </c>
      <c r="BG95" s="161">
        <f t="shared" si="48"/>
        <v>29.190954201814925</v>
      </c>
      <c r="BH95" s="161">
        <f t="shared" si="49"/>
        <v>-108.86723923878819</v>
      </c>
      <c r="BI95" s="64">
        <f t="shared" si="50"/>
        <v>71.132760761211813</v>
      </c>
      <c r="BS95" s="64">
        <v>6309.5734448019302</v>
      </c>
      <c r="BT95" s="64">
        <v>10.176672842537799</v>
      </c>
      <c r="BU95" s="64">
        <v>-34.693727865662801</v>
      </c>
      <c r="BV95" s="186">
        <v>5248.0746024977352</v>
      </c>
      <c r="BW95" s="64">
        <v>10.219967720573695</v>
      </c>
      <c r="BX95" s="64">
        <v>-28.498512750868393</v>
      </c>
      <c r="BZ95" s="64">
        <v>6309.5734448019302</v>
      </c>
      <c r="CA95" s="64">
        <v>4.31278100918039</v>
      </c>
      <c r="CB95" s="64">
        <v>-44.084165042951597</v>
      </c>
      <c r="CC95" s="186">
        <v>5248.0746024977352</v>
      </c>
      <c r="CD95" s="64">
        <v>5.107218762877447</v>
      </c>
      <c r="CE95" s="64">
        <v>-39.109690232005676</v>
      </c>
      <c r="CG95" s="64">
        <v>6309.5734448019302</v>
      </c>
      <c r="CH95" s="64">
        <v>10.7735955294542</v>
      </c>
      <c r="CI95" s="64">
        <v>-64.126994892346005</v>
      </c>
      <c r="CJ95" s="64">
        <v>5248.0746024977352</v>
      </c>
      <c r="CK95" s="64">
        <v>11.335223251843946</v>
      </c>
      <c r="CL95" s="64">
        <v>-51.636566356742627</v>
      </c>
      <c r="CN95" s="64">
        <v>6309.5734448019302</v>
      </c>
      <c r="CO95" s="64">
        <v>4.6290285251182297</v>
      </c>
      <c r="CP95" s="64">
        <v>-47.109961220010803</v>
      </c>
      <c r="CQ95" s="186">
        <v>5248.0746024977352</v>
      </c>
      <c r="CR95" s="64">
        <v>5.1898641133028107</v>
      </c>
      <c r="CS95" s="64">
        <v>-40.933977539629069</v>
      </c>
      <c r="CU95" s="64">
        <v>6309.5734448019302</v>
      </c>
      <c r="CV95" s="64">
        <v>3.06508746612923</v>
      </c>
      <c r="CW95" s="64">
        <v>-38.1952180837377</v>
      </c>
      <c r="CX95" s="139">
        <v>5248.0746024977352</v>
      </c>
      <c r="CY95" s="64">
        <v>3.7057294360466804</v>
      </c>
      <c r="CZ95" s="64">
        <v>-33.402906422529369</v>
      </c>
    </row>
    <row r="96" spans="2:104">
      <c r="B96" s="135">
        <f t="shared" si="58"/>
        <v>3.7600000000000007</v>
      </c>
      <c r="C96" s="139">
        <f t="shared" si="17"/>
        <v>5754.3993733715879</v>
      </c>
      <c r="D96" s="139">
        <f t="shared" si="18"/>
        <v>36155.957594411782</v>
      </c>
      <c r="E96" s="32" t="str">
        <f t="shared" si="19"/>
        <v>36155.9575944118i</v>
      </c>
      <c r="F96"/>
      <c r="G96" s="153" t="str">
        <f t="shared" si="59"/>
        <v>0.04+0.00254442021462098i</v>
      </c>
      <c r="H96" s="153" t="str">
        <f t="shared" si="60"/>
        <v>1+1.16535729526647i</v>
      </c>
      <c r="I96" t="str">
        <f t="shared" si="52"/>
        <v>0.0182205719624171-0.0186890562457095i</v>
      </c>
      <c r="J96"/>
      <c r="K96" t="str">
        <f t="shared" si="53"/>
        <v>0.04+0.00254442021462098i</v>
      </c>
      <c r="L96" t="str">
        <f t="shared" si="61"/>
        <v>5.43580907071529+6.33465975623371i</v>
      </c>
      <c r="M96" t="str">
        <f t="shared" si="54"/>
        <v>0.00335195216119309-0.00343813699167513i</v>
      </c>
      <c r="N96" s="153" t="str">
        <f t="shared" si="62"/>
        <v>0.0011+0.0079543106707706i</v>
      </c>
      <c r="O96" s="135" t="str">
        <f t="shared" si="63"/>
        <v>0.000242+0.00174994834756953i</v>
      </c>
      <c r="Q96" s="135" t="str">
        <f t="shared" si="64"/>
        <v>-0.0361559575944118i</v>
      </c>
      <c r="R96" s="135" t="str">
        <f t="shared" si="65"/>
        <v>-0.000529809794372148</v>
      </c>
      <c r="S96" s="64" t="str">
        <f t="shared" si="55"/>
        <v>0.999470190205628-0.0361559575944118i</v>
      </c>
      <c r="T96" s="135" t="str">
        <f t="shared" si="66"/>
        <v>0.00999470190205628-0.000361559575944118i</v>
      </c>
      <c r="U96" s="64" t="str">
        <f t="shared" si="56"/>
        <v>0.0135886540632494-0.00204974822004972i</v>
      </c>
      <c r="W96" s="64" t="str">
        <f t="shared" si="57"/>
        <v>1.5138807890884-1.14698495674126i</v>
      </c>
      <c r="X96" s="172">
        <f t="shared" si="26"/>
        <v>1.8993181762310567</v>
      </c>
      <c r="Y96" s="188">
        <f t="shared" si="27"/>
        <v>5.5719544880688998</v>
      </c>
      <c r="Z96" s="161">
        <f t="shared" si="28"/>
        <v>-37.149225204962939</v>
      </c>
      <c r="AA96" s="161">
        <f t="shared" si="8"/>
        <v>-37.149225204962939</v>
      </c>
      <c r="AB96" s="199"/>
      <c r="AC96" s="64" t="str">
        <f t="shared" si="67"/>
        <v>-2765795.92004655i</v>
      </c>
      <c r="AD96" s="64" t="str">
        <f t="shared" si="68"/>
        <v>22000-276579.592004655i</v>
      </c>
      <c r="AE96" s="64" t="str">
        <f t="shared" si="29"/>
        <v>18180.8675018787-251567.46206639i</v>
      </c>
      <c r="AF96" s="64" t="str">
        <f t="shared" si="69"/>
        <v>10000</v>
      </c>
      <c r="AG96" s="64" t="str">
        <f t="shared" si="70"/>
        <v>-70917.8441037576i</v>
      </c>
      <c r="AH96" s="64" t="str">
        <f t="shared" si="30"/>
        <v>9805.04316722559-1382.59182736578i</v>
      </c>
      <c r="AI96" s="64" t="str">
        <f t="shared" si="31"/>
        <v>5.36539512152428-24.9003810036123i</v>
      </c>
      <c r="AJ96" s="161">
        <f t="shared" si="32"/>
        <v>25.47187544989832</v>
      </c>
      <c r="AK96" s="161">
        <f t="shared" si="33"/>
        <v>28.121218449767923</v>
      </c>
      <c r="AL96" s="161">
        <f t="shared" si="34"/>
        <v>-77.840141157400978</v>
      </c>
      <c r="AN96" s="64" t="str">
        <f t="shared" si="35"/>
        <v>-20.4377938279249-43.8502359337117i</v>
      </c>
      <c r="AO96" s="161">
        <f t="shared" si="36"/>
        <v>48.379196024685513</v>
      </c>
      <c r="AP96" s="161">
        <f t="shared" si="37"/>
        <v>33.69317293783682</v>
      </c>
      <c r="AQ96" s="161">
        <f t="shared" si="38"/>
        <v>-114.9893663623639</v>
      </c>
      <c r="AR96" s="64">
        <f t="shared" si="39"/>
        <v>65.010633637636104</v>
      </c>
      <c r="AT96" s="135" t="str">
        <f t="shared" si="71"/>
        <v>-865535.975617832i</v>
      </c>
      <c r="AU96" s="135" t="str">
        <f t="shared" si="72"/>
        <v>27456.1383070198-154924.538450632i</v>
      </c>
      <c r="AV96" s="135" t="str">
        <f t="shared" si="40"/>
        <v>19737.9940820054-131935.228040971i</v>
      </c>
      <c r="AW96" s="135" t="str">
        <f t="shared" si="73"/>
        <v>10000</v>
      </c>
      <c r="AX96" s="135" t="str">
        <f t="shared" si="74"/>
        <v>1789.92604368691-66526.0653286511i</v>
      </c>
      <c r="AY96" s="135" t="str">
        <f t="shared" si="41"/>
        <v>9741.71632091427-1457.39649634039i</v>
      </c>
      <c r="AZ96" s="135" t="str">
        <f t="shared" si="42"/>
        <v>3.96355283682067-12.9503627356384i</v>
      </c>
      <c r="BA96" s="182">
        <f t="shared" si="43"/>
        <v>13.543324779199562</v>
      </c>
      <c r="BB96" s="182">
        <f t="shared" si="44"/>
        <v>22.634505866019893</v>
      </c>
      <c r="BC96" s="182">
        <f t="shared" si="45"/>
        <v>-72.982888257201623</v>
      </c>
      <c r="BE96" s="135" t="str">
        <f t="shared" si="46"/>
        <v>-8.85352474592019-24.1514408362917i</v>
      </c>
      <c r="BF96" s="161">
        <f t="shared" si="47"/>
        <v>25.723082919734164</v>
      </c>
      <c r="BG96" s="161">
        <f t="shared" si="48"/>
        <v>28.206460354088783</v>
      </c>
      <c r="BH96" s="161">
        <f t="shared" si="49"/>
        <v>-110.13211346216455</v>
      </c>
      <c r="BI96" s="64">
        <f t="shared" si="50"/>
        <v>69.867886537835446</v>
      </c>
      <c r="BS96" s="64">
        <v>6918.3097091893596</v>
      </c>
      <c r="BT96" s="64">
        <v>10.023380080871201</v>
      </c>
      <c r="BU96" s="64">
        <v>-37.945990948229102</v>
      </c>
      <c r="BV96" s="186">
        <v>5754.3993733715879</v>
      </c>
      <c r="BW96" s="64">
        <v>10.126786668946778</v>
      </c>
      <c r="BX96" s="64">
        <v>-31.248547680103034</v>
      </c>
      <c r="BZ96" s="64">
        <v>6918.3097091893596</v>
      </c>
      <c r="CA96" s="64">
        <v>3.9457346155686799</v>
      </c>
      <c r="CB96" s="64">
        <v>-46.9959209787528</v>
      </c>
      <c r="CC96" s="186">
        <v>5754.3993733715879</v>
      </c>
      <c r="CD96" s="64">
        <v>4.7997459424405333</v>
      </c>
      <c r="CE96" s="64">
        <v>-41.882866196301237</v>
      </c>
      <c r="CG96" s="64">
        <v>6918.3097091893596</v>
      </c>
      <c r="CH96" s="64">
        <v>10.461628987358001</v>
      </c>
      <c r="CI96" s="64">
        <v>-72.332365568409898</v>
      </c>
      <c r="CJ96" s="64">
        <v>5754.3993733715879</v>
      </c>
      <c r="CK96" s="64">
        <v>11.214221475615716</v>
      </c>
      <c r="CL96" s="64">
        <v>-58.017090854083982</v>
      </c>
      <c r="CN96" s="64">
        <v>6918.3097091893596</v>
      </c>
      <c r="CO96" s="64">
        <v>4.2385561905401703</v>
      </c>
      <c r="CP96" s="64">
        <v>-50.197068893105303</v>
      </c>
      <c r="CQ96" s="186">
        <v>5754.3993733715879</v>
      </c>
      <c r="CR96" s="64">
        <v>4.8823850966251792</v>
      </c>
      <c r="CS96" s="64">
        <v>-43.916136684086986</v>
      </c>
      <c r="CU96" s="64">
        <v>6918.3097091893596</v>
      </c>
      <c r="CV96" s="64">
        <v>2.7898311179424402</v>
      </c>
      <c r="CW96" s="64">
        <v>-41.062358551801204</v>
      </c>
      <c r="CX96" s="139">
        <v>5754.3993733715879</v>
      </c>
      <c r="CY96" s="64">
        <v>3.4829510537462398</v>
      </c>
      <c r="CZ96" s="64">
        <v>-36.0416197498812</v>
      </c>
    </row>
    <row r="97" spans="2:104">
      <c r="B97" s="135">
        <f t="shared" si="58"/>
        <v>3.8000000000000007</v>
      </c>
      <c r="C97" s="139">
        <f t="shared" si="17"/>
        <v>6309.5734448019502</v>
      </c>
      <c r="D97" s="139">
        <f t="shared" si="18"/>
        <v>39644.219162950103</v>
      </c>
      <c r="E97" s="32" t="str">
        <f t="shared" si="19"/>
        <v>39644.2191629501i</v>
      </c>
      <c r="F97"/>
      <c r="G97" s="153" t="str">
        <f t="shared" si="59"/>
        <v>0.04+0.00278821123889735i</v>
      </c>
      <c r="H97" s="153" t="str">
        <f t="shared" si="60"/>
        <v>1+1.27727421707614i</v>
      </c>
      <c r="I97" t="str">
        <f t="shared" si="52"/>
        <v>0.0165542385075174-0.0183560907900836i</v>
      </c>
      <c r="J97"/>
      <c r="K97" t="str">
        <f t="shared" si="53"/>
        <v>0.04+0.00278821123889735i</v>
      </c>
      <c r="L97" t="str">
        <f t="shared" si="61"/>
        <v>5.43580907071529+6.94301877497325i</v>
      </c>
      <c r="M97" t="str">
        <f t="shared" si="54"/>
        <v>0.00304540470280702-0.00337688291683655i</v>
      </c>
      <c r="N97" s="153" t="str">
        <f t="shared" si="62"/>
        <v>0.0011+0.00872172821584902i</v>
      </c>
      <c r="O97" s="135" t="str">
        <f t="shared" si="63"/>
        <v>0.000242+0.00191878020748678i</v>
      </c>
      <c r="Q97" s="135" t="str">
        <f t="shared" si="64"/>
        <v>-0.0396442191629501i</v>
      </c>
      <c r="R97" s="135" t="str">
        <f t="shared" si="65"/>
        <v>-0.000636971472885599</v>
      </c>
      <c r="S97" s="64" t="str">
        <f t="shared" si="55"/>
        <v>0.999363028527114-0.0396442191629501i</v>
      </c>
      <c r="T97" s="135" t="str">
        <f t="shared" si="66"/>
        <v>0.00999363028527114-0.000396442191629501i</v>
      </c>
      <c r="U97" s="64" t="str">
        <f t="shared" si="56"/>
        <v>0.0132810349880782-0.00185454490097927i</v>
      </c>
      <c r="W97" s="64" t="str">
        <f t="shared" si="57"/>
        <v>1.41192434136198-1.18496892119998i</v>
      </c>
      <c r="X97" s="172">
        <f t="shared" si="26"/>
        <v>1.8432801441832725</v>
      </c>
      <c r="Y97" s="188">
        <f t="shared" si="27"/>
        <v>5.3118268978383814</v>
      </c>
      <c r="Z97" s="161">
        <f t="shared" si="28"/>
        <v>-40.005327259751347</v>
      </c>
      <c r="AA97" s="161">
        <f t="shared" si="8"/>
        <v>-40.005327259751347</v>
      </c>
      <c r="AB97" s="199"/>
      <c r="AC97" s="64" t="str">
        <f t="shared" si="67"/>
        <v>-2522435.8585288i</v>
      </c>
      <c r="AD97" s="64" t="str">
        <f t="shared" si="68"/>
        <v>22000-252243.58585288i</v>
      </c>
      <c r="AE97" s="64" t="str">
        <f t="shared" si="29"/>
        <v>18180.6752252261-229456.502509977i</v>
      </c>
      <c r="AF97" s="64" t="str">
        <f t="shared" si="69"/>
        <v>10000</v>
      </c>
      <c r="AG97" s="64" t="str">
        <f t="shared" si="70"/>
        <v>-64677.8425263795i</v>
      </c>
      <c r="AH97" s="64" t="str">
        <f t="shared" si="30"/>
        <v>9766.53096821675-1510.02732724632i</v>
      </c>
      <c r="AI97" s="64" t="str">
        <f t="shared" si="31"/>
        <v>5.36575083333172-22.6645543684656i</v>
      </c>
      <c r="AJ97" s="161">
        <f t="shared" si="32"/>
        <v>23.291056367767716</v>
      </c>
      <c r="AK97" s="161">
        <f t="shared" si="33"/>
        <v>27.343783728863077</v>
      </c>
      <c r="AL97" s="161">
        <f t="shared" si="34"/>
        <v>-76.680663067376742</v>
      </c>
      <c r="AN97" s="64" t="str">
        <f t="shared" si="35"/>
        <v>-19.2807583282146-38.3588839753596i</v>
      </c>
      <c r="AO97" s="161">
        <f t="shared" si="36"/>
        <v>42.931941739759637</v>
      </c>
      <c r="AP97" s="161">
        <f t="shared" si="37"/>
        <v>32.655610626701467</v>
      </c>
      <c r="AQ97" s="161">
        <f t="shared" si="38"/>
        <v>-116.68599032712808</v>
      </c>
      <c r="AR97" s="64">
        <f t="shared" si="39"/>
        <v>63.314009672871919</v>
      </c>
      <c r="AT97" s="135" t="str">
        <f t="shared" si="71"/>
        <v>-789378.191615956i</v>
      </c>
      <c r="AU97" s="135" t="str">
        <f t="shared" si="72"/>
        <v>27456.1383070198-141292.858349188i</v>
      </c>
      <c r="AV97" s="135" t="str">
        <f t="shared" si="40"/>
        <v>19735.1065206542-120424.23671636i</v>
      </c>
      <c r="AW97" s="135" t="str">
        <f t="shared" si="73"/>
        <v>10000</v>
      </c>
      <c r="AX97" s="135" t="str">
        <f t="shared" si="74"/>
        <v>1789.92604368691-60672.4926794292i</v>
      </c>
      <c r="AY97" s="135" t="str">
        <f t="shared" si="41"/>
        <v>9691.37561220483-1588.22123563893i</v>
      </c>
      <c r="AZ97" s="135" t="str">
        <f t="shared" si="42"/>
        <v>3.96619664374293-11.7759380658329i</v>
      </c>
      <c r="BA97" s="182">
        <f t="shared" si="43"/>
        <v>12.425917798986518</v>
      </c>
      <c r="BB97" s="182">
        <f t="shared" si="44"/>
        <v>21.886569526078471</v>
      </c>
      <c r="BC97" s="182">
        <f t="shared" si="45"/>
        <v>-71.386209382530694</v>
      </c>
      <c r="BE97" s="135" t="str">
        <f t="shared" si="46"/>
        <v>-8.35415104205896-21.3265533557236i</v>
      </c>
      <c r="BF97" s="161">
        <f t="shared" si="47"/>
        <v>22.90444755212534</v>
      </c>
      <c r="BG97" s="161">
        <f t="shared" si="48"/>
        <v>27.198396423916847</v>
      </c>
      <c r="BH97" s="161">
        <f t="shared" si="49"/>
        <v>-111.39153664228205</v>
      </c>
      <c r="BI97" s="64">
        <f t="shared" si="50"/>
        <v>68.608463357717952</v>
      </c>
      <c r="BS97" s="64">
        <v>7585.7757502918303</v>
      </c>
      <c r="BT97" s="64">
        <v>9.8371757122638606</v>
      </c>
      <c r="BU97" s="64">
        <v>-41.463956512130103</v>
      </c>
      <c r="BV97" s="186">
        <v>6309.5734448019502</v>
      </c>
      <c r="BW97" s="64">
        <v>10.012187047525549</v>
      </c>
      <c r="BX97" s="64">
        <v>-34.252814437047171</v>
      </c>
      <c r="BZ97" s="64">
        <v>7585.7757502918303</v>
      </c>
      <c r="CA97" s="64">
        <v>3.5414103056106598</v>
      </c>
      <c r="CB97" s="64">
        <v>-49.945414262876099</v>
      </c>
      <c r="CC97" s="186">
        <v>6309.5734448019502</v>
      </c>
      <c r="CD97" s="64">
        <v>4.456566423680222</v>
      </c>
      <c r="CE97" s="64">
        <v>-44.721504713948384</v>
      </c>
      <c r="CG97" s="64">
        <v>7585.7757502918303</v>
      </c>
      <c r="CH97" s="64">
        <v>9.9664575446466603</v>
      </c>
      <c r="CI97" s="64">
        <v>-81.1831745225535</v>
      </c>
      <c r="CJ97" s="64">
        <v>6309.5734448019502</v>
      </c>
      <c r="CK97" s="64">
        <v>10.997024936865465</v>
      </c>
      <c r="CL97" s="64">
        <v>-65.167299740738358</v>
      </c>
      <c r="CN97" s="64">
        <v>7585.7757502918303</v>
      </c>
      <c r="CO97" s="64">
        <v>3.8095194860446302</v>
      </c>
      <c r="CP97" s="64">
        <v>-53.3258330323279</v>
      </c>
      <c r="CQ97" s="186">
        <v>6309.5734448019502</v>
      </c>
      <c r="CR97" s="64">
        <v>4.5380646366459256</v>
      </c>
      <c r="CS97" s="64">
        <v>-46.987507310744149</v>
      </c>
      <c r="CU97" s="64">
        <v>7585.7757502918303</v>
      </c>
      <c r="CV97" s="64">
        <v>2.47980078593252</v>
      </c>
      <c r="CW97" s="64">
        <v>-44.030186751279999</v>
      </c>
      <c r="CX97" s="139">
        <v>6309.5734448019502</v>
      </c>
      <c r="CY97" s="64">
        <v>3.2290861404828126</v>
      </c>
      <c r="CZ97" s="64">
        <v>-38.798457454395759</v>
      </c>
    </row>
    <row r="98" spans="2:104">
      <c r="B98" s="135">
        <f t="shared" si="58"/>
        <v>3.8400000000000007</v>
      </c>
      <c r="C98" s="139">
        <f t="shared" si="17"/>
        <v>6918.3097091893815</v>
      </c>
      <c r="D98" s="139">
        <f t="shared" si="18"/>
        <v>43469.021915296595</v>
      </c>
      <c r="E98" s="32" t="str">
        <f t="shared" si="19"/>
        <v>43469.0219152966i</v>
      </c>
      <c r="F98"/>
      <c r="G98" s="153" t="str">
        <f t="shared" si="59"/>
        <v>0.04+0.00305498795607236i</v>
      </c>
      <c r="H98" s="153" t="str">
        <f t="shared" si="60"/>
        <v>1+1.39982582431671i</v>
      </c>
      <c r="I98" t="str">
        <f t="shared" si="52"/>
        <v>0.0149607252718755-0.0178874216300066i</v>
      </c>
      <c r="J98"/>
      <c r="K98" t="str">
        <f t="shared" si="53"/>
        <v>0.04+0.00305498795607236i</v>
      </c>
      <c r="L98" t="str">
        <f t="shared" si="61"/>
        <v>5.43580907071529+7.60918591324227i</v>
      </c>
      <c r="M98" t="str">
        <f t="shared" si="54"/>
        <v>0.00275225363460142-0.00329066407544973i</v>
      </c>
      <c r="N98" s="153" t="str">
        <f t="shared" si="62"/>
        <v>0.0011+0.00956318482136525i</v>
      </c>
      <c r="O98" s="135" t="str">
        <f t="shared" si="63"/>
        <v>0.000242+0.00210390066070035i</v>
      </c>
      <c r="Q98" s="135" t="str">
        <f t="shared" si="64"/>
        <v>-0.0434690219152966i</v>
      </c>
      <c r="R98" s="135" t="str">
        <f t="shared" si="65"/>
        <v>-0.000765808147716227</v>
      </c>
      <c r="S98" s="64" t="str">
        <f t="shared" si="55"/>
        <v>0.999234191852284-0.0434690219152966i</v>
      </c>
      <c r="T98" s="135" t="str">
        <f t="shared" si="66"/>
        <v>0.00999234191852284-0.000434690219152966i</v>
      </c>
      <c r="U98" s="64" t="str">
        <f t="shared" si="56"/>
        <v>0.0129865955531243-0.00162145363390235i</v>
      </c>
      <c r="W98" s="64" t="str">
        <f t="shared" si="57"/>
        <v>1.30366360063107-1.21460558949819i</v>
      </c>
      <c r="X98" s="172">
        <f t="shared" si="26"/>
        <v>1.7817983953440444</v>
      </c>
      <c r="Y98" s="188">
        <f t="shared" si="27"/>
        <v>5.0171712696316408</v>
      </c>
      <c r="Z98" s="161">
        <f t="shared" si="28"/>
        <v>-42.974592014725779</v>
      </c>
      <c r="AA98" s="161">
        <f t="shared" si="8"/>
        <v>-42.974592014725779</v>
      </c>
      <c r="AB98" s="199"/>
      <c r="AC98" s="64" t="str">
        <f t="shared" si="67"/>
        <v>-2300488.8445583i</v>
      </c>
      <c r="AD98" s="64" t="str">
        <f t="shared" si="68"/>
        <v>22000-230048.88445583i</v>
      </c>
      <c r="AE98" s="64" t="str">
        <f t="shared" si="29"/>
        <v>18180.4440632289-209293.406729583i</v>
      </c>
      <c r="AF98" s="64" t="str">
        <f t="shared" si="69"/>
        <v>10000</v>
      </c>
      <c r="AG98" s="64" t="str">
        <f t="shared" si="70"/>
        <v>-58986.8934502128i</v>
      </c>
      <c r="AH98" s="64" t="str">
        <f t="shared" si="30"/>
        <v>9720.62775159163-1647.93010498107i</v>
      </c>
      <c r="AI98" s="64" t="str">
        <f t="shared" si="31"/>
        <v>5.36617848302647-20.6211290856067i</v>
      </c>
      <c r="AJ98" s="161">
        <f t="shared" si="32"/>
        <v>21.30790548779844</v>
      </c>
      <c r="AK98" s="161">
        <f t="shared" si="33"/>
        <v>26.57081523567555</v>
      </c>
      <c r="AL98" s="161">
        <f t="shared" si="34"/>
        <v>-75.413591664743095</v>
      </c>
      <c r="AN98" s="64" t="str">
        <f t="shared" si="35"/>
        <v>-18.0508470863303-33.400805772549i</v>
      </c>
      <c r="AO98" s="161">
        <f t="shared" si="36"/>
        <v>37.966391806301807</v>
      </c>
      <c r="AP98" s="161">
        <f t="shared" si="37"/>
        <v>31.587986505307192</v>
      </c>
      <c r="AQ98" s="161">
        <f t="shared" si="38"/>
        <v>-118.3881836794688</v>
      </c>
      <c r="AR98" s="64">
        <f t="shared" si="39"/>
        <v>61.611816320531204</v>
      </c>
      <c r="AT98" s="135" t="str">
        <f t="shared" si="71"/>
        <v>-719921.467104918i</v>
      </c>
      <c r="AU98" s="135" t="str">
        <f t="shared" si="72"/>
        <v>27456.1383070198-128860.618338038i</v>
      </c>
      <c r="AV98" s="135" t="str">
        <f t="shared" si="40"/>
        <v>19731.636026624-109935.4964414i</v>
      </c>
      <c r="AW98" s="135" t="str">
        <f t="shared" si="73"/>
        <v>10000</v>
      </c>
      <c r="AX98" s="135" t="str">
        <f t="shared" si="74"/>
        <v>1789.92604368691-55333.9709743815i</v>
      </c>
      <c r="AY98" s="135" t="str">
        <f t="shared" si="41"/>
        <v>9631.66273128513-1728.72702172424i</v>
      </c>
      <c r="AZ98" s="135" t="str">
        <f t="shared" si="42"/>
        <v>3.96937292666695-10.7015306784956i</v>
      </c>
      <c r="BA98" s="182">
        <f t="shared" si="43"/>
        <v>11.413968647834068</v>
      </c>
      <c r="BB98" s="182">
        <f t="shared" si="44"/>
        <v>21.148733505679218</v>
      </c>
      <c r="BC98" s="182">
        <f t="shared" si="45"/>
        <v>-69.649358163393941</v>
      </c>
      <c r="BE98" s="135" t="str">
        <f t="shared" si="46"/>
        <v>-7.82341197646099-18.7724185601239i</v>
      </c>
      <c r="BF98" s="161">
        <f t="shared" si="47"/>
        <v>20.337391021217975</v>
      </c>
      <c r="BG98" s="161">
        <f t="shared" si="48"/>
        <v>26.165904775310857</v>
      </c>
      <c r="BH98" s="161">
        <f t="shared" si="49"/>
        <v>-112.62395017811973</v>
      </c>
      <c r="BI98" s="64">
        <f t="shared" si="50"/>
        <v>67.376049821880272</v>
      </c>
      <c r="BS98" s="64">
        <v>8317.6377110267003</v>
      </c>
      <c r="BT98" s="64">
        <v>9.6115510967745106</v>
      </c>
      <c r="BU98" s="64">
        <v>-45.251214358018302</v>
      </c>
      <c r="BV98" s="186">
        <v>6918.3097091893815</v>
      </c>
      <c r="BW98" s="64">
        <v>9.8711792002691485</v>
      </c>
      <c r="BX98" s="64">
        <v>-37.526953007600923</v>
      </c>
      <c r="BZ98" s="64">
        <v>8317.6377110267003</v>
      </c>
      <c r="CA98" s="64">
        <v>3.0997133799203298</v>
      </c>
      <c r="CB98" s="64">
        <v>-52.912922405182101</v>
      </c>
      <c r="CC98" s="186">
        <v>6918.3097091893815</v>
      </c>
      <c r="CD98" s="64">
        <v>4.0766689130686187</v>
      </c>
      <c r="CE98" s="64">
        <v>-47.606447443596224</v>
      </c>
      <c r="CG98" s="64">
        <v>8317.6377110267003</v>
      </c>
      <c r="CH98" s="64">
        <v>9.2557378165248103</v>
      </c>
      <c r="CI98" s="64">
        <v>-90.373642165811603</v>
      </c>
      <c r="CJ98" s="64">
        <v>6918.3097091893815</v>
      </c>
      <c r="CK98" s="64">
        <v>10.647774933973649</v>
      </c>
      <c r="CL98" s="64">
        <v>-73.032047430363306</v>
      </c>
      <c r="CN98" s="64">
        <v>8317.6377110267003</v>
      </c>
      <c r="CO98" s="64">
        <v>3.3418897566094001</v>
      </c>
      <c r="CP98" s="64">
        <v>-56.477473973132902</v>
      </c>
      <c r="CQ98" s="186">
        <v>6918.3097091893815</v>
      </c>
      <c r="CR98" s="64">
        <v>4.1555106685434877</v>
      </c>
      <c r="CS98" s="64">
        <v>-50.130616437868234</v>
      </c>
      <c r="CU98" s="64">
        <v>8317.6377110267003</v>
      </c>
      <c r="CV98" s="64">
        <v>2.1333069257615498</v>
      </c>
      <c r="CW98" s="64">
        <v>-47.082778236044398</v>
      </c>
      <c r="CX98" s="139">
        <v>6918.3097091893815</v>
      </c>
      <c r="CY98" s="64">
        <v>2.9418610207221008</v>
      </c>
      <c r="CZ98" s="64">
        <v>-41.661028475578341</v>
      </c>
    </row>
    <row r="99" spans="2:104">
      <c r="B99" s="135">
        <f t="shared" si="58"/>
        <v>3.8800000000000008</v>
      </c>
      <c r="C99" s="139">
        <f t="shared" si="17"/>
        <v>7585.775750291853</v>
      </c>
      <c r="D99" s="139">
        <f t="shared" si="18"/>
        <v>47662.834737792975</v>
      </c>
      <c r="E99" s="32" t="str">
        <f t="shared" si="19"/>
        <v>47662.834737793i</v>
      </c>
      <c r="F99"/>
      <c r="G99" s="153" t="str">
        <f t="shared" si="59"/>
        <v>0.04+0.00334679954201013i</v>
      </c>
      <c r="H99" s="153" t="str">
        <f t="shared" si="60"/>
        <v>1+1.53398684410386i</v>
      </c>
      <c r="I99" t="str">
        <f t="shared" si="52"/>
        <v>0.0134603012068448-0.0173011254269651i</v>
      </c>
      <c r="J99"/>
      <c r="K99" t="str">
        <f t="shared" si="53"/>
        <v>0.04+0.00334679954201013i</v>
      </c>
      <c r="L99" t="str">
        <f t="shared" si="61"/>
        <v>5.43580907071529+8.33845960153768i</v>
      </c>
      <c r="M99" t="str">
        <f t="shared" si="54"/>
        <v>0.00247622773937378-0.00318280594514856i</v>
      </c>
      <c r="N99" s="153" t="str">
        <f t="shared" si="62"/>
        <v>0.0011+0.0104858236423145i</v>
      </c>
      <c r="O99" s="135" t="str">
        <f t="shared" si="63"/>
        <v>0.000242+0.00230688120130919i</v>
      </c>
      <c r="Q99" s="135" t="str">
        <f t="shared" si="64"/>
        <v>-0.047662834737793i</v>
      </c>
      <c r="R99" s="135" t="str">
        <f t="shared" si="65"/>
        <v>-0.000920703899739457</v>
      </c>
      <c r="S99" s="64" t="str">
        <f t="shared" si="55"/>
        <v>0.999079296100261-0.047662834737793i</v>
      </c>
      <c r="T99" s="135" t="str">
        <f t="shared" si="66"/>
        <v>0.00999079296100261-0.00047662834737793i</v>
      </c>
      <c r="U99" s="64" t="str">
        <f t="shared" si="56"/>
        <v>0.0127090207003764-0.0013525530912173i</v>
      </c>
      <c r="W99" s="64" t="str">
        <f t="shared" si="57"/>
        <v>1.19050869724613-1.23462692982466i</v>
      </c>
      <c r="X99" s="172">
        <f t="shared" si="26"/>
        <v>1.7151135863455058</v>
      </c>
      <c r="Y99" s="188">
        <f t="shared" si="27"/>
        <v>4.685857744596861</v>
      </c>
      <c r="Z99" s="161">
        <f t="shared" si="28"/>
        <v>-46.042213761216793</v>
      </c>
      <c r="AA99" s="161">
        <f t="shared" si="8"/>
        <v>-46.042213761216793</v>
      </c>
      <c r="AB99" s="199"/>
      <c r="AC99" s="64" t="str">
        <f t="shared" si="67"/>
        <v>-2098070.76205452i</v>
      </c>
      <c r="AD99" s="64" t="str">
        <f t="shared" si="68"/>
        <v>22000-209807.076205452i</v>
      </c>
      <c r="AE99" s="64" t="str">
        <f t="shared" si="29"/>
        <v>18180.166153163-190907.009292293i</v>
      </c>
      <c r="AF99" s="64" t="str">
        <f t="shared" si="69"/>
        <v>10000</v>
      </c>
      <c r="AG99" s="64" t="str">
        <f t="shared" si="70"/>
        <v>-53796.6862065262i</v>
      </c>
      <c r="AH99" s="64" t="str">
        <f t="shared" si="30"/>
        <v>9666.00797280128-1796.76642826908i</v>
      </c>
      <c r="AI99" s="64" t="str">
        <f t="shared" si="31"/>
        <v>5.36669261664839-18.7527588098324i</v>
      </c>
      <c r="AJ99" s="161">
        <f t="shared" si="32"/>
        <v>19.505572347955724</v>
      </c>
      <c r="AK99" s="161">
        <f t="shared" si="33"/>
        <v>25.803173964950084</v>
      </c>
      <c r="AL99" s="161">
        <f t="shared" si="34"/>
        <v>-74.029858161544709</v>
      </c>
      <c r="AN99" s="64" t="str">
        <f t="shared" si="35"/>
        <v>-16.7635667995592-28.9511856890697i</v>
      </c>
      <c r="AO99" s="161">
        <f t="shared" si="36"/>
        <v>33.454272143424042</v>
      </c>
      <c r="AP99" s="161">
        <f t="shared" si="37"/>
        <v>30.489031709546936</v>
      </c>
      <c r="AQ99" s="161">
        <f t="shared" si="38"/>
        <v>-120.07207192276149</v>
      </c>
      <c r="AR99" s="64">
        <f t="shared" si="39"/>
        <v>59.927928077238505</v>
      </c>
      <c r="AT99" s="135" t="str">
        <f t="shared" si="71"/>
        <v>-656576.181484695i</v>
      </c>
      <c r="AU99" s="135" t="str">
        <f t="shared" si="72"/>
        <v>27456.1383070198-117522.280690396i</v>
      </c>
      <c r="AV99" s="135" t="str">
        <f t="shared" si="40"/>
        <v>19727.4651906323-100379.956949479i</v>
      </c>
      <c r="AW99" s="135" t="str">
        <f t="shared" si="73"/>
        <v>10000</v>
      </c>
      <c r="AX99" s="135" t="str">
        <f t="shared" si="74"/>
        <v>1789.92604368691-50465.1813132412i</v>
      </c>
      <c r="AY99" s="135" t="str">
        <f t="shared" si="41"/>
        <v>9561.01708522971-1879.00690006113i</v>
      </c>
      <c r="AZ99" s="135" t="str">
        <f t="shared" si="42"/>
        <v>3.97318837717583-9.71803603583777i</v>
      </c>
      <c r="BA99" s="182">
        <f t="shared" si="43"/>
        <v>10.498878524602834</v>
      </c>
      <c r="BB99" s="182">
        <f t="shared" si="44"/>
        <v>20.422858216467937</v>
      </c>
      <c r="BC99" s="182">
        <f t="shared" si="45"/>
        <v>-67.762956424519246</v>
      </c>
      <c r="BE99" s="135" t="str">
        <f t="shared" si="46"/>
        <v>-7.26803367602673-16.4748117885438i</v>
      </c>
      <c r="BF99" s="161">
        <f t="shared" si="47"/>
        <v>18.006769198937391</v>
      </c>
      <c r="BG99" s="161">
        <f t="shared" si="48"/>
        <v>25.10871596106481</v>
      </c>
      <c r="BH99" s="161">
        <f t="shared" si="49"/>
        <v>-113.80517018573603</v>
      </c>
      <c r="BI99" s="64">
        <f t="shared" si="50"/>
        <v>66.194829814263969</v>
      </c>
      <c r="BS99" s="64">
        <v>9120.1083935590905</v>
      </c>
      <c r="BT99" s="64">
        <v>9.3392382763717503</v>
      </c>
      <c r="BU99" s="64">
        <v>-49.303403567350699</v>
      </c>
      <c r="BV99" s="186">
        <v>7585.775750291853</v>
      </c>
      <c r="BW99" s="64">
        <v>9.6977723456375351</v>
      </c>
      <c r="BX99" s="64">
        <v>-41.083187625989126</v>
      </c>
      <c r="BZ99" s="64">
        <v>9120.1083935590905</v>
      </c>
      <c r="CA99" s="64">
        <v>2.6211395833235298</v>
      </c>
      <c r="CB99" s="64">
        <v>-55.879432063383703</v>
      </c>
      <c r="CC99" s="186">
        <v>7585.775750291853</v>
      </c>
      <c r="CD99" s="64">
        <v>3.6596252533003297</v>
      </c>
      <c r="CE99" s="64">
        <v>-50.5177207350808</v>
      </c>
      <c r="CG99" s="64">
        <v>9120.1083935590905</v>
      </c>
      <c r="CH99" s="64">
        <v>8.3191984821052198</v>
      </c>
      <c r="CI99" s="64">
        <v>-99.515043564971606</v>
      </c>
      <c r="CJ99" s="64">
        <v>7585.775750291853</v>
      </c>
      <c r="CK99" s="64">
        <v>10.130977305087022</v>
      </c>
      <c r="CL99" s="64">
        <v>-81.455662234325771</v>
      </c>
      <c r="CN99" s="64">
        <v>9120.1083935590905</v>
      </c>
      <c r="CO99" s="64">
        <v>2.8361787964453802</v>
      </c>
      <c r="CP99" s="64">
        <v>-59.634264733170198</v>
      </c>
      <c r="CQ99" s="186">
        <v>7585.775750291853</v>
      </c>
      <c r="CR99" s="64">
        <v>3.7338585159782438</v>
      </c>
      <c r="CS99" s="64">
        <v>-53.326976661652317</v>
      </c>
      <c r="CU99" s="64">
        <v>9120.1083935590905</v>
      </c>
      <c r="CV99" s="64">
        <v>1.7491537121596099</v>
      </c>
      <c r="CW99" s="64">
        <v>-50.202632858539303</v>
      </c>
      <c r="CX99" s="139">
        <v>7585.775750291853</v>
      </c>
      <c r="CY99" s="64">
        <v>2.6193496739821369</v>
      </c>
      <c r="CZ99" s="64">
        <v>-44.614397415360472</v>
      </c>
    </row>
    <row r="100" spans="2:104">
      <c r="B100" s="135">
        <f t="shared" si="58"/>
        <v>3.9200000000000008</v>
      </c>
      <c r="C100" s="139">
        <f t="shared" si="17"/>
        <v>8317.6377110267385</v>
      </c>
      <c r="D100" s="139">
        <f t="shared" si="18"/>
        <v>52261.259056366049</v>
      </c>
      <c r="E100" s="32" t="str">
        <f t="shared" si="19"/>
        <v>52261.259056366i</v>
      </c>
      <c r="F100"/>
      <c r="G100" s="153" t="str">
        <f t="shared" si="59"/>
        <v>0.04+0.00366584029060169i</v>
      </c>
      <c r="H100" s="153" t="str">
        <f t="shared" si="60"/>
        <v>1+1.68081003484204i</v>
      </c>
      <c r="I100" t="str">
        <f t="shared" si="52"/>
        <v>0.0120680011362993-0.0166181771197753i</v>
      </c>
      <c r="J100"/>
      <c r="K100" t="str">
        <f t="shared" si="53"/>
        <v>0.04+0.00366584029060169i</v>
      </c>
      <c r="L100" t="str">
        <f t="shared" si="61"/>
        <v>5.43580907071529+9.13656243354364i</v>
      </c>
      <c r="M100" t="str">
        <f t="shared" si="54"/>
        <v>0.00222009290232692-0.00305716718589392i</v>
      </c>
      <c r="N100" s="153" t="str">
        <f t="shared" si="62"/>
        <v>0.0011+0.0114974769924005i</v>
      </c>
      <c r="O100" s="135" t="str">
        <f t="shared" si="63"/>
        <v>0.000242+0.00252944493832811i</v>
      </c>
      <c r="Q100" s="135" t="str">
        <f t="shared" si="64"/>
        <v>-0.052261259056366i</v>
      </c>
      <c r="R100" s="135" t="str">
        <f t="shared" si="65"/>
        <v>-0.0011069295534703</v>
      </c>
      <c r="S100" s="64" t="str">
        <f t="shared" si="55"/>
        <v>0.99889307044653-0.052261259056366i</v>
      </c>
      <c r="T100" s="135" t="str">
        <f t="shared" si="66"/>
        <v>0.0099889307044653-0.00052261259056366i</v>
      </c>
      <c r="U100" s="64" t="str">
        <f t="shared" si="56"/>
        <v>0.0124510236067922-0.00105033483812947i</v>
      </c>
      <c r="W100" s="64" t="str">
        <f t="shared" si="57"/>
        <v>1.0741839290595-1.24406834375251i</v>
      </c>
      <c r="X100" s="172">
        <f t="shared" si="26"/>
        <v>1.6436475161593553</v>
      </c>
      <c r="Y100" s="188">
        <f t="shared" si="27"/>
        <v>4.3161737555630832</v>
      </c>
      <c r="Z100" s="161">
        <f t="shared" si="28"/>
        <v>-49.191214346399704</v>
      </c>
      <c r="AA100" s="161">
        <f t="shared" si="8"/>
        <v>-49.191214346399704</v>
      </c>
      <c r="AB100" s="199"/>
      <c r="AC100" s="64" t="str">
        <f t="shared" si="67"/>
        <v>-1913463.27672943i</v>
      </c>
      <c r="AD100" s="64" t="str">
        <f t="shared" si="68"/>
        <v>22000-191346.327672943i</v>
      </c>
      <c r="AE100" s="64" t="str">
        <f t="shared" si="29"/>
        <v>18179.8320430226-174141.227157803i</v>
      </c>
      <c r="AF100" s="64" t="str">
        <f t="shared" si="69"/>
        <v>10000</v>
      </c>
      <c r="AG100" s="64" t="str">
        <f t="shared" si="70"/>
        <v>-49063.1609417804i</v>
      </c>
      <c r="AH100" s="64" t="str">
        <f t="shared" si="30"/>
        <v>9601.14769934566-1956.89546190035i</v>
      </c>
      <c r="AI100" s="64" t="str">
        <f t="shared" si="31"/>
        <v>5.36731072040835-17.0435833600997i</v>
      </c>
      <c r="AJ100" s="161">
        <f t="shared" si="32"/>
        <v>17.868736892183446</v>
      </c>
      <c r="AK100" s="161">
        <f t="shared" si="33"/>
        <v>25.041877082409819</v>
      </c>
      <c r="AL100" s="161">
        <f t="shared" si="34"/>
        <v>-72.519909516343247</v>
      </c>
      <c r="AN100" s="64" t="str">
        <f t="shared" si="35"/>
        <v>-15.4379036042757-24.9852446973485i</v>
      </c>
      <c r="AO100" s="161">
        <f t="shared" si="36"/>
        <v>29.369905009742372</v>
      </c>
      <c r="AP100" s="161">
        <f t="shared" si="37"/>
        <v>29.358050837972904</v>
      </c>
      <c r="AQ100" s="161">
        <f t="shared" si="38"/>
        <v>-121.71112386274304</v>
      </c>
      <c r="AR100" s="64">
        <f t="shared" si="39"/>
        <v>58.288876137256963</v>
      </c>
      <c r="AT100" s="135" t="str">
        <f t="shared" si="71"/>
        <v>-598804.594376954i</v>
      </c>
      <c r="AU100" s="135" t="str">
        <f t="shared" si="72"/>
        <v>27456.1383070198-107181.593855469i</v>
      </c>
      <c r="AV100" s="135" t="str">
        <f t="shared" si="40"/>
        <v>19722.4530765419-91676.4864689039i</v>
      </c>
      <c r="AW100" s="135" t="str">
        <f t="shared" si="73"/>
        <v>10000</v>
      </c>
      <c r="AX100" s="135" t="str">
        <f t="shared" si="74"/>
        <v>1789.92604368691-46024.7923677373i</v>
      </c>
      <c r="AY100" s="135" t="str">
        <f t="shared" si="41"/>
        <v>9477.6941346348-2038.94569964301i</v>
      </c>
      <c r="AZ100" s="135" t="str">
        <f t="shared" si="42"/>
        <v>3.97777081914744-8.81712646303476i</v>
      </c>
      <c r="BA100" s="182">
        <f t="shared" si="43"/>
        <v>9.6728682279254041</v>
      </c>
      <c r="BB100" s="182">
        <f t="shared" si="44"/>
        <v>19.711105429663803</v>
      </c>
      <c r="BC100" s="182">
        <f t="shared" si="45"/>
        <v>-65.717893153275</v>
      </c>
      <c r="BE100" s="135" t="str">
        <f t="shared" si="46"/>
        <v>-6.69625042811406-14.419834301881i</v>
      </c>
      <c r="BF100" s="161">
        <f t="shared" si="47"/>
        <v>15.898785836966344</v>
      </c>
      <c r="BG100" s="161">
        <f t="shared" si="48"/>
        <v>24.027279185226895</v>
      </c>
      <c r="BH100" s="161">
        <f t="shared" si="49"/>
        <v>-114.90910749967469</v>
      </c>
      <c r="BI100" s="64">
        <f t="shared" si="50"/>
        <v>65.09089250032531</v>
      </c>
      <c r="BS100" s="64">
        <v>10000</v>
      </c>
      <c r="BT100" s="64">
        <v>9.0124537192813499</v>
      </c>
      <c r="BU100" s="64">
        <v>-53.605640199662098</v>
      </c>
      <c r="BV100" s="186">
        <v>8317.6377110267385</v>
      </c>
      <c r="BW100" s="64">
        <v>9.484932931622966</v>
      </c>
      <c r="BX100" s="64">
        <v>-44.928013311499257</v>
      </c>
      <c r="BZ100" s="64">
        <v>10000</v>
      </c>
      <c r="CA100" s="64">
        <v>2.1067297092583401</v>
      </c>
      <c r="CB100" s="64">
        <v>-58.8275327647764</v>
      </c>
      <c r="CC100" s="186">
        <v>8317.6377110267385</v>
      </c>
      <c r="CD100" s="64">
        <v>3.2056124971047724</v>
      </c>
      <c r="CE100" s="64">
        <v>-53.435465508099512</v>
      </c>
      <c r="CG100" s="64">
        <v>10000</v>
      </c>
      <c r="CH100" s="64">
        <v>7.1727473874243604</v>
      </c>
      <c r="CI100" s="64">
        <v>-108.229911833285</v>
      </c>
      <c r="CJ100" s="64">
        <v>8317.6377110267385</v>
      </c>
      <c r="CK100" s="64">
        <v>9.4201333309382651</v>
      </c>
      <c r="CL100" s="64">
        <v>-90.179560948403108</v>
      </c>
      <c r="CN100" s="64">
        <v>10000</v>
      </c>
      <c r="CO100" s="64">
        <v>2.29337301257417</v>
      </c>
      <c r="CP100" s="64">
        <v>-62.780322249858997</v>
      </c>
      <c r="CQ100" s="186">
        <v>8317.6377110267385</v>
      </c>
      <c r="CR100" s="64">
        <v>3.2727950623873263</v>
      </c>
      <c r="CS100" s="64">
        <v>-56.557958266821224</v>
      </c>
      <c r="CU100" s="64">
        <v>10000</v>
      </c>
      <c r="CV100" s="64">
        <v>1.3266957708120599</v>
      </c>
      <c r="CW100" s="64">
        <v>-53.371494958509501</v>
      </c>
      <c r="CX100" s="139">
        <v>8317.6377110267385</v>
      </c>
      <c r="CY100" s="64">
        <v>2.2600742240242901</v>
      </c>
      <c r="CZ100" s="64">
        <v>-47.641602057887951</v>
      </c>
    </row>
    <row r="101" spans="2:104">
      <c r="B101" s="135">
        <f t="shared" si="58"/>
        <v>3.9600000000000009</v>
      </c>
      <c r="C101" s="139">
        <f t="shared" si="17"/>
        <v>9120.108393559125</v>
      </c>
      <c r="D101" s="139">
        <f t="shared" si="18"/>
        <v>57303.331058295917</v>
      </c>
      <c r="E101" s="32" t="str">
        <f t="shared" si="19"/>
        <v>57303.3310582959i</v>
      </c>
      <c r="F101"/>
      <c r="G101" s="153" t="str">
        <f t="shared" si="59"/>
        <v>0.04+0.00401444747048492i</v>
      </c>
      <c r="H101" s="153" t="str">
        <f t="shared" si="60"/>
        <v>1+1.84142880075615i</v>
      </c>
      <c r="I101" t="str">
        <f t="shared" si="52"/>
        <v>0.0107934024055229-0.0158608345771957i</v>
      </c>
      <c r="J101"/>
      <c r="K101" t="str">
        <f t="shared" si="53"/>
        <v>0.04+0.00401444747048492i</v>
      </c>
      <c r="L101" t="str">
        <f t="shared" si="61"/>
        <v>5.43580907071529+10.0096553782267i</v>
      </c>
      <c r="M101" t="str">
        <f t="shared" si="54"/>
        <v>0.00198561102222499-0.00291784247218023i</v>
      </c>
      <c r="N101" s="153" t="str">
        <f t="shared" si="62"/>
        <v>0.0011+0.0126067328328251i</v>
      </c>
      <c r="O101" s="135" t="str">
        <f t="shared" si="63"/>
        <v>0.000242+0.00277348122322152i</v>
      </c>
      <c r="Q101" s="135" t="str">
        <f t="shared" si="64"/>
        <v>-0.0573033310582959i</v>
      </c>
      <c r="R101" s="135" t="str">
        <f t="shared" si="65"/>
        <v>-0.00133082203376428</v>
      </c>
      <c r="S101" s="64" t="str">
        <f t="shared" si="55"/>
        <v>0.998669177966236-0.0573033310582959i</v>
      </c>
      <c r="T101" s="135" t="str">
        <f t="shared" si="66"/>
        <v>0.00998669177966236-0.000573033310582959i</v>
      </c>
      <c r="U101" s="64" t="str">
        <f t="shared" si="56"/>
        <v>0.0122143028018873-0.000717394559541669i</v>
      </c>
      <c r="W101" s="64" t="str">
        <f t="shared" si="57"/>
        <v>0.956637813238676-1.24235890174441i</v>
      </c>
      <c r="X101" s="172">
        <f t="shared" si="26"/>
        <v>1.5679960288411616</v>
      </c>
      <c r="Y101" s="188">
        <f t="shared" si="27"/>
        <v>3.9068991688235681</v>
      </c>
      <c r="Z101" s="161">
        <f t="shared" si="28"/>
        <v>-52.403107567911121</v>
      </c>
      <c r="AA101" s="161">
        <f t="shared" si="8"/>
        <v>-52.403107567911121</v>
      </c>
      <c r="AB101" s="199"/>
      <c r="AC101" s="64" t="str">
        <f t="shared" si="67"/>
        <v>-1745099.24908672i</v>
      </c>
      <c r="AD101" s="64" t="str">
        <f t="shared" si="68"/>
        <v>22000-174509.924908672i</v>
      </c>
      <c r="AE101" s="64" t="str">
        <f t="shared" si="29"/>
        <v>18179.4303705404-158853.734664006i</v>
      </c>
      <c r="AF101" s="64" t="str">
        <f t="shared" si="69"/>
        <v>10000</v>
      </c>
      <c r="AG101" s="64" t="str">
        <f t="shared" si="70"/>
        <v>-44746.1345919672i</v>
      </c>
      <c r="AH101" s="64" t="str">
        <f t="shared" si="30"/>
        <v>9524.31161537363-2128.5216482327i</v>
      </c>
      <c r="AI101" s="64" t="str">
        <f t="shared" si="31"/>
        <v>5.36805381450035-15.4790941187806i</v>
      </c>
      <c r="AJ101" s="161">
        <f t="shared" si="32"/>
        <v>16.383478156162074</v>
      </c>
      <c r="AK101" s="161">
        <f t="shared" si="33"/>
        <v>24.28812212879982</v>
      </c>
      <c r="AL101" s="161">
        <f t="shared" si="34"/>
        <v>-70.873771388453108</v>
      </c>
      <c r="AN101" s="64" t="str">
        <f t="shared" si="35"/>
        <v>-14.0953071069555-21.4769361901935i</v>
      </c>
      <c r="AO101" s="161">
        <f t="shared" si="36"/>
        <v>25.689228687468088</v>
      </c>
      <c r="AP101" s="161">
        <f t="shared" si="37"/>
        <v>28.195021297623398</v>
      </c>
      <c r="AQ101" s="161">
        <f t="shared" si="38"/>
        <v>-123.27687895636423</v>
      </c>
      <c r="AR101" s="64">
        <f t="shared" si="39"/>
        <v>56.723121043635771</v>
      </c>
      <c r="AT101" s="135" t="str">
        <f t="shared" si="71"/>
        <v>-546116.280727901i</v>
      </c>
      <c r="AU101" s="135" t="str">
        <f t="shared" si="72"/>
        <v>27456.1383070198-97750.7753756301i</v>
      </c>
      <c r="AV101" s="135" t="str">
        <f t="shared" si="40"/>
        <v>19716.4305606306-83751.1818932543i</v>
      </c>
      <c r="AW101" s="135" t="str">
        <f t="shared" si="73"/>
        <v>10000</v>
      </c>
      <c r="AX101" s="135" t="str">
        <f t="shared" si="74"/>
        <v>1789.92604368691-41975.1095184815i</v>
      </c>
      <c r="AY101" s="135" t="str">
        <f t="shared" si="41"/>
        <v>9379.77534167664-2208.15617186386i</v>
      </c>
      <c r="AZ101" s="135" t="str">
        <f t="shared" si="42"/>
        <v>3.98327328514745-7.99118205650298i</v>
      </c>
      <c r="BA101" s="182">
        <f t="shared" si="43"/>
        <v>8.9289112843808986</v>
      </c>
      <c r="BB101" s="182">
        <f t="shared" si="44"/>
        <v>19.01597015871026</v>
      </c>
      <c r="BC101" s="182">
        <f t="shared" si="45"/>
        <v>-63.505645722875144</v>
      </c>
      <c r="BE101" s="135" t="str">
        <f t="shared" si="46"/>
        <v>-6.11736631832119-12.5933219516088i</v>
      </c>
      <c r="BF101" s="161">
        <f t="shared" si="47"/>
        <v>14.000497435784297</v>
      </c>
      <c r="BG101" s="161">
        <f t="shared" si="48"/>
        <v>22.922869327533839</v>
      </c>
      <c r="BH101" s="161">
        <f t="shared" si="49"/>
        <v>-115.90875329078625</v>
      </c>
      <c r="BI101" s="64">
        <f t="shared" si="50"/>
        <v>64.091246709213749</v>
      </c>
      <c r="BS101" s="64">
        <v>10964.7819614318</v>
      </c>
      <c r="BT101" s="64">
        <v>8.6233284849225296</v>
      </c>
      <c r="BU101" s="64">
        <v>-58.130184180107399</v>
      </c>
      <c r="BV101" s="186">
        <v>9120.108393559125</v>
      </c>
      <c r="BW101" s="64">
        <v>9.2246579133796143</v>
      </c>
      <c r="BX101" s="64">
        <v>-49.059315743685744</v>
      </c>
      <c r="BZ101" s="64">
        <v>10964.7819614318</v>
      </c>
      <c r="CA101" s="64">
        <v>1.5579889535143401</v>
      </c>
      <c r="CB101" s="64">
        <v>-61.742176631366199</v>
      </c>
      <c r="CC101" s="186">
        <v>9120.108393559125</v>
      </c>
      <c r="CD101" s="64">
        <v>2.7153935938111502</v>
      </c>
      <c r="CE101" s="64">
        <v>-56.340877306955015</v>
      </c>
      <c r="CG101" s="64">
        <v>10964.7819614318</v>
      </c>
      <c r="CH101" s="64">
        <v>5.8522036019359502</v>
      </c>
      <c r="CI101" s="64">
        <v>-116.239721102213</v>
      </c>
      <c r="CJ101" s="64">
        <v>9120.108393559125</v>
      </c>
      <c r="CK101" s="64">
        <v>8.5061321767629359</v>
      </c>
      <c r="CL101" s="64">
        <v>-98.88011945912703</v>
      </c>
      <c r="CN101" s="64">
        <v>10964.7819614318</v>
      </c>
      <c r="CO101" s="64">
        <v>1.71483729569745</v>
      </c>
      <c r="CP101" s="64">
        <v>-65.902219213056895</v>
      </c>
      <c r="CQ101" s="186">
        <v>9120.108393559125</v>
      </c>
      <c r="CR101" s="64">
        <v>2.7725417816609803</v>
      </c>
      <c r="CS101" s="64">
        <v>-59.805676346416867</v>
      </c>
      <c r="CU101" s="64">
        <v>10964.7819614318</v>
      </c>
      <c r="CV101" s="64">
        <v>0.86585646974188302</v>
      </c>
      <c r="CW101" s="64">
        <v>-56.571272914489299</v>
      </c>
      <c r="CX101" s="139">
        <v>9120.108393559125</v>
      </c>
      <c r="CY101" s="64">
        <v>1.8630826267743075</v>
      </c>
      <c r="CZ101" s="64">
        <v>-50.724373968728237</v>
      </c>
    </row>
    <row r="102" spans="2:104">
      <c r="B102" s="135">
        <f t="shared" si="58"/>
        <v>4.0000000000000009</v>
      </c>
      <c r="C102" s="139">
        <f t="shared" si="17"/>
        <v>10000.000000000027</v>
      </c>
      <c r="D102" s="139">
        <f t="shared" si="18"/>
        <v>62831.853071796031</v>
      </c>
      <c r="E102" s="32" t="str">
        <f t="shared" si="19"/>
        <v>62831.853071796i</v>
      </c>
      <c r="F102"/>
      <c r="G102" s="153" t="str">
        <f t="shared" si="59"/>
        <v>0.04+0.00439509417476876i</v>
      </c>
      <c r="H102" s="153" t="str">
        <f t="shared" si="60"/>
        <v>1+2.01705859832515i</v>
      </c>
      <c r="I102" t="str">
        <f t="shared" si="52"/>
        <v>0.00964090317096362-0.0150511724618436i</v>
      </c>
      <c r="J102"/>
      <c r="K102" t="str">
        <f t="shared" si="53"/>
        <v>0.04+0.00439509417476876i</v>
      </c>
      <c r="L102" t="str">
        <f t="shared" si="61"/>
        <v>5.43580907071529+10.9643454249401i</v>
      </c>
      <c r="M102" t="str">
        <f t="shared" si="54"/>
        <v>0.00177359120703903-0.00276889277493756i</v>
      </c>
      <c r="N102" s="153" t="str">
        <f t="shared" si="62"/>
        <v>0.0011+0.0138230076757951i</v>
      </c>
      <c r="O102" s="135" t="str">
        <f t="shared" si="63"/>
        <v>0.000242+0.00304106168867492i</v>
      </c>
      <c r="Q102" s="135" t="str">
        <f t="shared" si="64"/>
        <v>-0.062831853071796i</v>
      </c>
      <c r="R102" s="135" t="str">
        <f t="shared" si="65"/>
        <v>-0.00160000000000001</v>
      </c>
      <c r="S102" s="64" t="str">
        <f t="shared" si="55"/>
        <v>0.9984-0.062831853071796i</v>
      </c>
      <c r="T102" s="135" t="str">
        <f t="shared" si="66"/>
        <v>0.009984-0.00062831853071796i</v>
      </c>
      <c r="U102" s="64" t="str">
        <f t="shared" si="56"/>
        <v>0.011999591207039-0.0003561496169806i</v>
      </c>
      <c r="W102" s="64" t="str">
        <f t="shared" si="57"/>
        <v>0.839924086762852-1.22937803176134i</v>
      </c>
      <c r="X102" s="172">
        <f t="shared" si="26"/>
        <v>1.4889065842092972</v>
      </c>
      <c r="Y102" s="188">
        <f t="shared" si="27"/>
        <v>3.4573490089709589</v>
      </c>
      <c r="Z102" s="161">
        <f t="shared" si="28"/>
        <v>-55.658697087706777</v>
      </c>
      <c r="AA102" s="161">
        <f t="shared" si="8"/>
        <v>-55.658697087706777</v>
      </c>
      <c r="AB102" s="199"/>
      <c r="AC102" s="64" t="str">
        <f t="shared" si="67"/>
        <v>-1591549.43091895i</v>
      </c>
      <c r="AD102" s="64" t="str">
        <f t="shared" si="68"/>
        <v>22000-159154.943091895i</v>
      </c>
      <c r="AE102" s="64" t="str">
        <f t="shared" si="29"/>
        <v>18178.9474774977-144914.755293104i</v>
      </c>
      <c r="AF102" s="64" t="str">
        <f t="shared" si="69"/>
        <v>10000</v>
      </c>
      <c r="AG102" s="64" t="str">
        <f t="shared" si="70"/>
        <v>-40808.9597671525i</v>
      </c>
      <c r="AH102" s="64" t="str">
        <f t="shared" si="30"/>
        <v>9433.54689283341-2311.63620603399i</v>
      </c>
      <c r="AI102" s="64" t="str">
        <f t="shared" si="31"/>
        <v>5.36894716662929-14.046010916117i</v>
      </c>
      <c r="AJ102" s="161">
        <f t="shared" si="32"/>
        <v>15.037154529156592</v>
      </c>
      <c r="AK102" s="161">
        <f t="shared" si="33"/>
        <v>23.543313255430924</v>
      </c>
      <c r="AL102" s="161">
        <f t="shared" si="34"/>
        <v>-69.081144319586713</v>
      </c>
      <c r="AN102" s="64" t="str">
        <f t="shared" si="35"/>
        <v>-12.7583492083451-18.398048591722i</v>
      </c>
      <c r="AO102" s="161">
        <f t="shared" si="36"/>
        <v>22.388918386233932</v>
      </c>
      <c r="AP102" s="161">
        <f t="shared" si="37"/>
        <v>27.000662264401893</v>
      </c>
      <c r="AQ102" s="161">
        <f t="shared" si="38"/>
        <v>-124.73984140729343</v>
      </c>
      <c r="AR102" s="64">
        <f t="shared" si="39"/>
        <v>55.260158592706574</v>
      </c>
      <c r="AT102" s="135" t="str">
        <f t="shared" si="71"/>
        <v>-498063.967572581i</v>
      </c>
      <c r="AU102" s="135" t="str">
        <f t="shared" si="72"/>
        <v>27456.1383070198-89149.7666980195i</v>
      </c>
      <c r="AV102" s="135" t="str">
        <f t="shared" si="40"/>
        <v>19709.1947714331-76536.7399711384i</v>
      </c>
      <c r="AW102" s="135" t="str">
        <f t="shared" si="73"/>
        <v>10000</v>
      </c>
      <c r="AX102" s="135" t="str">
        <f t="shared" si="74"/>
        <v>1789.92604368691-38281.7548640066i</v>
      </c>
      <c r="AY102" s="135" t="str">
        <f t="shared" si="41"/>
        <v>9265.19401906739-2385.90660623614i</v>
      </c>
      <c r="AZ102" s="135" t="str">
        <f t="shared" si="42"/>
        <v>3.98987883024826-7.23322809798139i</v>
      </c>
      <c r="BA102" s="182">
        <f t="shared" si="43"/>
        <v>8.2606732048599216</v>
      </c>
      <c r="BB102" s="182">
        <f t="shared" si="44"/>
        <v>18.340308833192623</v>
      </c>
      <c r="BC102" s="182">
        <f t="shared" si="45"/>
        <v>-61.118687798027544</v>
      </c>
      <c r="BE102" s="135" t="str">
        <f t="shared" si="46"/>
        <v>-5.54117638958648-10.9804318878413i</v>
      </c>
      <c r="BF102" s="161">
        <f t="shared" si="47"/>
        <v>12.299370724717289</v>
      </c>
      <c r="BG102" s="161">
        <f t="shared" si="48"/>
        <v>21.797657842163606</v>
      </c>
      <c r="BH102" s="161">
        <f t="shared" si="49"/>
        <v>-116.77738488573425</v>
      </c>
      <c r="BI102" s="64">
        <f t="shared" si="50"/>
        <v>63.22261511426575</v>
      </c>
      <c r="BS102" s="64">
        <v>12022.6443461741</v>
      </c>
      <c r="BT102" s="64">
        <v>8.1645329775083404</v>
      </c>
      <c r="BU102" s="64">
        <v>-62.8349787270474</v>
      </c>
      <c r="BV102" s="186">
        <v>10000.000000000027</v>
      </c>
      <c r="BW102" s="64">
        <v>8.9082267356085119</v>
      </c>
      <c r="BX102" s="64">
        <v>-53.463151469621131</v>
      </c>
      <c r="BZ102" s="64">
        <v>12022.6443461741</v>
      </c>
      <c r="CA102" s="64">
        <v>0.97678071413532697</v>
      </c>
      <c r="CB102" s="64">
        <v>-64.611242589900897</v>
      </c>
      <c r="CC102" s="186">
        <v>10000.000000000027</v>
      </c>
      <c r="CD102" s="64">
        <v>2.1902588745578253</v>
      </c>
      <c r="CE102" s="64">
        <v>-59.217064945870945</v>
      </c>
      <c r="CG102" s="64">
        <v>12022.6443461741</v>
      </c>
      <c r="CH102" s="64">
        <v>4.4012741415893002</v>
      </c>
      <c r="CI102" s="64">
        <v>-123.400767888722</v>
      </c>
      <c r="CJ102" s="64">
        <v>10000.000000000027</v>
      </c>
      <c r="CK102" s="64">
        <v>7.4005052767061894</v>
      </c>
      <c r="CL102" s="64">
        <v>-107.23826116578635</v>
      </c>
      <c r="CN102" s="64">
        <v>12022.6443461741</v>
      </c>
      <c r="CO102" s="64">
        <v>1.1022001819659699</v>
      </c>
      <c r="CP102" s="64">
        <v>-68.989367348900402</v>
      </c>
      <c r="CQ102" s="186">
        <v>10000.000000000027</v>
      </c>
      <c r="CR102" s="64">
        <v>2.2337980926953733</v>
      </c>
      <c r="CS102" s="64">
        <v>-63.05379740389003</v>
      </c>
      <c r="CU102" s="64">
        <v>12022.6443461741</v>
      </c>
      <c r="CV102" s="64">
        <v>0.367104049883624</v>
      </c>
      <c r="CW102" s="64">
        <v>-59.784967091756997</v>
      </c>
      <c r="CX102" s="139">
        <v>10000.000000000027</v>
      </c>
      <c r="CY102" s="64">
        <v>1.427992941804219</v>
      </c>
      <c r="CZ102" s="64">
        <v>-53.844007625497056</v>
      </c>
    </row>
    <row r="103" spans="2:104">
      <c r="B103" s="135">
        <f t="shared" si="58"/>
        <v>4.04</v>
      </c>
      <c r="C103" s="139">
        <f t="shared" si="17"/>
        <v>10964.781961431856</v>
      </c>
      <c r="D103" s="139">
        <f t="shared" si="18"/>
        <v>68893.756916496408</v>
      </c>
      <c r="E103" s="32" t="str">
        <f t="shared" si="19"/>
        <v>68893.7569164964i</v>
      </c>
      <c r="F103"/>
      <c r="G103" s="153" t="str">
        <f t="shared" si="59"/>
        <v>0.04+0.00481037534357004i</v>
      </c>
      <c r="H103" s="153" t="str">
        <f t="shared" si="60"/>
        <v>1+2.20899661170368i</v>
      </c>
      <c r="I103" t="str">
        <f t="shared" si="52"/>
        <v>0.00861037048230204-0.0142099038773486i</v>
      </c>
      <c r="J103"/>
      <c r="K103" t="str">
        <f t="shared" si="53"/>
        <v>0.04+0.00481037534357004i</v>
      </c>
      <c r="L103" t="str">
        <f t="shared" si="61"/>
        <v>5.43580907071529+12.0076838190782i</v>
      </c>
      <c r="M103" t="str">
        <f t="shared" si="54"/>
        <v>0.00158400899852964-0.00261412858554995i</v>
      </c>
      <c r="N103" s="153" t="str">
        <f t="shared" si="62"/>
        <v>0.0011+0.0151566265216292i</v>
      </c>
      <c r="O103" s="135" t="str">
        <f t="shared" si="63"/>
        <v>0.000242+0.00333445783475842i</v>
      </c>
      <c r="Q103" s="135" t="str">
        <f t="shared" si="64"/>
        <v>-0.0688937569164964i</v>
      </c>
      <c r="R103" s="135" t="str">
        <f t="shared" si="65"/>
        <v>-0.00192362309538786</v>
      </c>
      <c r="S103" s="64" t="str">
        <f t="shared" si="55"/>
        <v>0.998076376904612-0.0688937569164964i</v>
      </c>
      <c r="T103" s="135" t="str">
        <f t="shared" si="66"/>
        <v>0.00998076376904612-0.000688937569164964i</v>
      </c>
      <c r="U103" s="64" t="str">
        <f t="shared" si="56"/>
        <v>0.0118067727675758+0.0000313916800435059i</v>
      </c>
      <c r="W103" s="64" t="str">
        <f t="shared" si="57"/>
        <v>0.726068753898-1.20546881654629i</v>
      </c>
      <c r="X103" s="172">
        <f t="shared" si="26"/>
        <v>1.4072423043145437</v>
      </c>
      <c r="Y103" s="188">
        <f t="shared" si="27"/>
        <v>2.9673776468705308</v>
      </c>
      <c r="Z103" s="161">
        <f t="shared" si="28"/>
        <v>-58.938925335230635</v>
      </c>
      <c r="AA103" s="161">
        <f t="shared" si="8"/>
        <v>-58.938925335230635</v>
      </c>
      <c r="AB103" s="199"/>
      <c r="AC103" s="64" t="str">
        <f t="shared" si="67"/>
        <v>-1451510.33236881i</v>
      </c>
      <c r="AD103" s="64" t="str">
        <f t="shared" si="68"/>
        <v>22000-145151.033236881i</v>
      </c>
      <c r="AE103" s="64" t="str">
        <f t="shared" si="29"/>
        <v>18178.3669463275-132205.959959509i</v>
      </c>
      <c r="AF103" s="64" t="str">
        <f t="shared" si="69"/>
        <v>10000</v>
      </c>
      <c r="AG103" s="64" t="str">
        <f t="shared" si="70"/>
        <v>-37218.2136504824i</v>
      </c>
      <c r="AH103" s="64" t="str">
        <f t="shared" si="30"/>
        <v>9326.68793507144-2505.94722859585i</v>
      </c>
      <c r="AI103" s="64" t="str">
        <f t="shared" si="31"/>
        <v>5.37002114929412-12.7321693584706i</v>
      </c>
      <c r="AJ103" s="161">
        <f t="shared" si="32"/>
        <v>13.818294529957154</v>
      </c>
      <c r="AK103" s="161">
        <f t="shared" si="33"/>
        <v>22.809088904273949</v>
      </c>
      <c r="AL103" s="161">
        <f t="shared" si="34"/>
        <v>-67.131541134058821</v>
      </c>
      <c r="AN103" s="64" t="str">
        <f t="shared" si="35"/>
        <v>-11.4492285643486-15.7178233801912i</v>
      </c>
      <c r="AO103" s="161">
        <f t="shared" si="36"/>
        <v>19.445688636033978</v>
      </c>
      <c r="AP103" s="161">
        <f t="shared" si="37"/>
        <v>25.776466551144491</v>
      </c>
      <c r="AQ103" s="161">
        <f t="shared" si="38"/>
        <v>-126.0704664692894</v>
      </c>
      <c r="AR103" s="64">
        <f t="shared" si="39"/>
        <v>53.9295335307106</v>
      </c>
      <c r="AT103" s="135" t="str">
        <f t="shared" si="71"/>
        <v>-454239.737118805i</v>
      </c>
      <c r="AU103" s="135" t="str">
        <f t="shared" si="72"/>
        <v>27456.1383070198-81305.5535546444i</v>
      </c>
      <c r="AV103" s="135" t="str">
        <f t="shared" si="40"/>
        <v>19700.502467257-69971.8840703405i</v>
      </c>
      <c r="AW103" s="135" t="str">
        <f t="shared" si="73"/>
        <v>10000</v>
      </c>
      <c r="AX103" s="135" t="str">
        <f t="shared" si="74"/>
        <v>1789.92604368691-34913.3753855399i</v>
      </c>
      <c r="AY103" s="135" t="str">
        <f t="shared" si="41"/>
        <v>9131.78249688421-2571.04272666824i</v>
      </c>
      <c r="AZ103" s="135" t="str">
        <f t="shared" si="42"/>
        <v>3.99780619442676-6.53687859428298i</v>
      </c>
      <c r="BA103" s="182">
        <f t="shared" si="43"/>
        <v>7.6624562722792753</v>
      </c>
      <c r="BB103" s="182">
        <f t="shared" si="44"/>
        <v>17.687360182471995</v>
      </c>
      <c r="BC103" s="182">
        <f t="shared" si="45"/>
        <v>-58.55099299986194</v>
      </c>
      <c r="BE103" s="135" t="str">
        <f t="shared" si="46"/>
        <v>-4.97732114104394-9.56545399731061i</v>
      </c>
      <c r="BF103" s="161">
        <f t="shared" si="47"/>
        <v>10.782932621311723</v>
      </c>
      <c r="BG103" s="161">
        <f t="shared" si="48"/>
        <v>20.654737829342533</v>
      </c>
      <c r="BH103" s="161">
        <f t="shared" si="49"/>
        <v>-117.48991833509258</v>
      </c>
      <c r="BI103" s="64">
        <f t="shared" si="50"/>
        <v>62.510081664907418</v>
      </c>
      <c r="BS103" s="64">
        <v>13182.567385564</v>
      </c>
      <c r="BT103" s="64">
        <v>7.6300488618561699</v>
      </c>
      <c r="BU103" s="64">
        <v>-67.663797109478693</v>
      </c>
      <c r="BV103" s="186">
        <v>10964.781961431856</v>
      </c>
      <c r="BW103" s="64">
        <v>8.5266893797329981</v>
      </c>
      <c r="BX103" s="64">
        <v>-58.110701207378334</v>
      </c>
      <c r="BZ103" s="64">
        <v>13182.567385564</v>
      </c>
      <c r="CA103" s="64">
        <v>0.36520663568074602</v>
      </c>
      <c r="CB103" s="64">
        <v>-67.425874678202405</v>
      </c>
      <c r="CC103" s="186">
        <v>10964.781961431856</v>
      </c>
      <c r="CD103" s="64">
        <v>1.6319356031939973</v>
      </c>
      <c r="CE103" s="64">
        <v>-62.049750944391398</v>
      </c>
      <c r="CG103" s="64">
        <v>13182.567385564</v>
      </c>
      <c r="CH103" s="64">
        <v>2.8610079264247101</v>
      </c>
      <c r="CI103" s="64">
        <v>-129.68696950474299</v>
      </c>
      <c r="CJ103" s="64">
        <v>10964.781961431856</v>
      </c>
      <c r="CK103" s="64">
        <v>6.1313338125455985</v>
      </c>
      <c r="CL103" s="64">
        <v>-115.00667142952651</v>
      </c>
      <c r="CN103" s="64">
        <v>13182.567385564</v>
      </c>
      <c r="CO103" s="64">
        <v>0.45723313668520099</v>
      </c>
      <c r="CP103" s="64">
        <v>-72.0341559123449</v>
      </c>
      <c r="CQ103" s="186">
        <v>10964.781961431856</v>
      </c>
      <c r="CR103" s="64">
        <v>1.6576520033570845</v>
      </c>
      <c r="CS103" s="64">
        <v>-66.28818155135923</v>
      </c>
      <c r="CU103" s="64">
        <v>13182.567385564</v>
      </c>
      <c r="CV103" s="64">
        <v>-0.16861249139468101</v>
      </c>
      <c r="CW103" s="64">
        <v>-62.997512421966199</v>
      </c>
      <c r="CX103" s="139">
        <v>10964.781961431856</v>
      </c>
      <c r="CY103" s="64">
        <v>0.95499730938897454</v>
      </c>
      <c r="CZ103" s="64">
        <v>-56.982297478791835</v>
      </c>
    </row>
    <row r="104" spans="2:104">
      <c r="B104" s="135">
        <f t="shared" si="58"/>
        <v>4.08</v>
      </c>
      <c r="C104" s="139">
        <f t="shared" si="17"/>
        <v>12022.644346174151</v>
      </c>
      <c r="D104" s="139">
        <f t="shared" si="18"/>
        <v>75540.502309327145</v>
      </c>
      <c r="E104" s="32" t="str">
        <f t="shared" si="19"/>
        <v>75540.5023093271i</v>
      </c>
      <c r="F104"/>
      <c r="G104" s="153" t="str">
        <f t="shared" si="59"/>
        <v>0.04+0.00526298464336408i</v>
      </c>
      <c r="H104" s="153" t="str">
        <f t="shared" si="60"/>
        <v>1+2.41861902672953i</v>
      </c>
      <c r="I104" t="str">
        <f t="shared" si="52"/>
        <v>0.00769800374600695-0.0133555536845635i</v>
      </c>
      <c r="J104"/>
      <c r="K104" t="str">
        <f t="shared" si="53"/>
        <v>0.04+0.00526298464336408i</v>
      </c>
      <c r="L104" t="str">
        <f t="shared" si="61"/>
        <v>5.43580907071529+13.147151244101i</v>
      </c>
      <c r="M104" t="str">
        <f t="shared" si="54"/>
        <v>0.00141616521953998-0.00245695783476186i</v>
      </c>
      <c r="N104" s="153" t="str">
        <f t="shared" si="62"/>
        <v>0.0011+0.016618910508052i</v>
      </c>
      <c r="O104" s="135" t="str">
        <f t="shared" si="63"/>
        <v>0.000242+0.00365616031177144i</v>
      </c>
      <c r="Q104" s="135" t="str">
        <f t="shared" si="64"/>
        <v>-0.0755405023093271i</v>
      </c>
      <c r="R104" s="135" t="str">
        <f t="shared" si="65"/>
        <v>-0.00231270363319349</v>
      </c>
      <c r="S104" s="64" t="str">
        <f t="shared" si="55"/>
        <v>0.997687296366807-0.0755405023093271i</v>
      </c>
      <c r="T104" s="135" t="str">
        <f t="shared" si="66"/>
        <v>0.00997687296366807-0.000755405023093271i</v>
      </c>
      <c r="U104" s="64" t="str">
        <f t="shared" si="56"/>
        <v>0.011635038183208+0.000443797453916309i</v>
      </c>
      <c r="W104" s="64" t="str">
        <f t="shared" si="57"/>
        <v>0.616941409258861-1.17140575704155i</v>
      </c>
      <c r="X104" s="172">
        <f t="shared" si="26"/>
        <v>1.3239366110537152</v>
      </c>
      <c r="Y104" s="188">
        <f t="shared" si="27"/>
        <v>2.4373438391035576</v>
      </c>
      <c r="Z104" s="161">
        <f t="shared" si="28"/>
        <v>-62.225678829307107</v>
      </c>
      <c r="AA104" s="161">
        <f t="shared" si="8"/>
        <v>-62.225678829307107</v>
      </c>
      <c r="AB104" s="199"/>
      <c r="AC104" s="64" t="str">
        <f t="shared" si="67"/>
        <v>-1323793.15655746i</v>
      </c>
      <c r="AD104" s="64" t="str">
        <f t="shared" si="68"/>
        <v>22000-132379.315655746i</v>
      </c>
      <c r="AE104" s="64" t="str">
        <f t="shared" si="29"/>
        <v>18177.6690434318-120619.462464385i</v>
      </c>
      <c r="AF104" s="64" t="str">
        <f t="shared" si="69"/>
        <v>10000</v>
      </c>
      <c r="AG104" s="64" t="str">
        <f t="shared" si="70"/>
        <v>-33943.414270704i</v>
      </c>
      <c r="AH104" s="64" t="str">
        <f t="shared" si="30"/>
        <v>9201.37706383743-2710.79891682522i</v>
      </c>
      <c r="AI104" s="64" t="str">
        <f t="shared" si="31"/>
        <v>5.37131226965104-11.5264176488006i</v>
      </c>
      <c r="AJ104" s="161">
        <f t="shared" si="32"/>
        <v>12.716497132177782</v>
      </c>
      <c r="AK104" s="161">
        <f t="shared" si="33"/>
        <v>22.087349953180212</v>
      </c>
      <c r="AL104" s="161">
        <f t="shared" si="34"/>
        <v>-65.014474117365666</v>
      </c>
      <c r="AN104" s="64" t="str">
        <f t="shared" si="35"/>
        <v>-10.1883270306624-13.4031104634944i</v>
      </c>
      <c r="AO104" s="161">
        <f t="shared" si="36"/>
        <v>16.83583611764973</v>
      </c>
      <c r="AP104" s="161">
        <f t="shared" si="37"/>
        <v>24.524693792283763</v>
      </c>
      <c r="AQ104" s="161">
        <f t="shared" si="38"/>
        <v>-127.24015294667268</v>
      </c>
      <c r="AR104" s="64">
        <f t="shared" si="39"/>
        <v>52.75984705332732</v>
      </c>
      <c r="AT104" s="135" t="str">
        <f t="shared" si="71"/>
        <v>-414271.563918528i</v>
      </c>
      <c r="AU104" s="135" t="str">
        <f t="shared" si="72"/>
        <v>27456.1383070198-74151.546141668i</v>
      </c>
      <c r="AV104" s="135" t="str">
        <f t="shared" si="40"/>
        <v>19690.0621638145-64000.841510707i</v>
      </c>
      <c r="AW104" s="135" t="str">
        <f t="shared" si="73"/>
        <v>10000</v>
      </c>
      <c r="AX104" s="135" t="str">
        <f t="shared" si="74"/>
        <v>1789.92604368691-31841.3767901142i</v>
      </c>
      <c r="AY104" s="135" t="str">
        <f t="shared" si="41"/>
        <v>8977.34623610907-2761.90908248451i</v>
      </c>
      <c r="AZ104" s="135" t="str">
        <f t="shared" si="42"/>
        <v>4.00731643082378-5.89628565857425i</v>
      </c>
      <c r="BA104" s="182">
        <f t="shared" si="43"/>
        <v>7.1291492861531953</v>
      </c>
      <c r="BB104" s="182">
        <f t="shared" si="44"/>
        <v>17.060754180846217</v>
      </c>
      <c r="BC104" s="182">
        <f t="shared" si="45"/>
        <v>-55.79863843877142</v>
      </c>
      <c r="BE104" s="135" t="str">
        <f t="shared" si="46"/>
        <v>-4.43466351943679-8.33185632094778i</v>
      </c>
      <c r="BF104" s="161">
        <f t="shared" si="47"/>
        <v>9.4385417456056722</v>
      </c>
      <c r="BG104" s="161">
        <f t="shared" si="48"/>
        <v>19.498098019949776</v>
      </c>
      <c r="BH104" s="161">
        <f t="shared" si="49"/>
        <v>-118.02431726807851</v>
      </c>
      <c r="BI104" s="64">
        <f t="shared" si="50"/>
        <v>61.975682731921495</v>
      </c>
      <c r="BS104" s="64">
        <v>14454.3977074592</v>
      </c>
      <c r="BT104" s="64">
        <v>7.0159710634610004</v>
      </c>
      <c r="BU104" s="64">
        <v>-72.548587821223705</v>
      </c>
      <c r="BV104" s="186">
        <v>12022.644346174151</v>
      </c>
      <c r="BW104" s="64">
        <v>8.0716107632104244</v>
      </c>
      <c r="BX104" s="64">
        <v>-62.956217262088565</v>
      </c>
      <c r="BZ104" s="64">
        <v>14454.3977074592</v>
      </c>
      <c r="CA104" s="64">
        <v>-0.27451544617514201</v>
      </c>
      <c r="CB104" s="64">
        <v>-70.180595548257102</v>
      </c>
      <c r="CC104" s="186">
        <v>12022.644346174151</v>
      </c>
      <c r="CD104" s="64">
        <v>1.0424762908317504</v>
      </c>
      <c r="CE104" s="64">
        <v>-64.827764015902957</v>
      </c>
      <c r="CG104" s="64">
        <v>14454.3977074592</v>
      </c>
      <c r="CH104" s="64">
        <v>1.26432641894616</v>
      </c>
      <c r="CI104" s="64">
        <v>-135.14839998355001</v>
      </c>
      <c r="CJ104" s="64">
        <v>12022.644346174151</v>
      </c>
      <c r="CK104" s="64">
        <v>4.7345613512538973</v>
      </c>
      <c r="CL104" s="64">
        <v>-122.04259910368549</v>
      </c>
      <c r="CN104" s="64">
        <v>14454.3977074592</v>
      </c>
      <c r="CO104" s="64">
        <v>-0.21826404108018099</v>
      </c>
      <c r="CP104" s="64">
        <v>-75.0318597072458</v>
      </c>
      <c r="CQ104" s="186">
        <v>12022.644346174151</v>
      </c>
      <c r="CR104" s="64">
        <v>1.0454691061914294</v>
      </c>
      <c r="CS104" s="64">
        <v>-69.497301923135538</v>
      </c>
      <c r="CU104" s="64">
        <v>14454.3977074592</v>
      </c>
      <c r="CV104" s="64">
        <v>-0.73996067551025502</v>
      </c>
      <c r="CW104" s="64">
        <v>-66.196455525569604</v>
      </c>
      <c r="CX104" s="139">
        <v>12022.644346174151</v>
      </c>
      <c r="CY104" s="64">
        <v>0.44482400741327177</v>
      </c>
      <c r="CZ104" s="64">
        <v>-60.122449391170001</v>
      </c>
    </row>
    <row r="105" spans="2:104">
      <c r="B105" s="135">
        <f t="shared" si="58"/>
        <v>4.12</v>
      </c>
      <c r="C105" s="139">
        <f t="shared" si="17"/>
        <v>13182.567385564091</v>
      </c>
      <c r="D105" s="139">
        <f t="shared" si="18"/>
        <v>82828.513707881109</v>
      </c>
      <c r="E105" s="32" t="str">
        <f t="shared" si="19"/>
        <v>82828.5137078811i</v>
      </c>
      <c r="F105"/>
      <c r="G105" s="153" t="str">
        <f t="shared" si="59"/>
        <v>0.04+0.00575567929791176i</v>
      </c>
      <c r="H105" s="153" t="str">
        <f t="shared" si="60"/>
        <v>1+2.64737505776962i</v>
      </c>
      <c r="I105" t="str">
        <f t="shared" si="52"/>
        <v>0.00689727023368384-0.0125039818854397i</v>
      </c>
      <c r="J105"/>
      <c r="K105" t="str">
        <f t="shared" si="53"/>
        <v>0.04+0.00575567929791176i</v>
      </c>
      <c r="L105" t="str">
        <f t="shared" si="61"/>
        <v>5.43580907071529+14.3906253526095i</v>
      </c>
      <c r="M105" t="str">
        <f t="shared" si="54"/>
        <v>0.00126885807502732-0.00230029821187121i</v>
      </c>
      <c r="N105" s="153" t="str">
        <f t="shared" si="62"/>
        <v>0.0011+0.0182222730157338i</v>
      </c>
      <c r="O105" s="135" t="str">
        <f t="shared" si="63"/>
        <v>0.000242+0.00400890006346144i</v>
      </c>
      <c r="Q105" s="135" t="str">
        <f t="shared" si="64"/>
        <v>-0.0828285137078811i</v>
      </c>
      <c r="R105" s="135" t="str">
        <f t="shared" si="65"/>
        <v>-0.00278048132599901</v>
      </c>
      <c r="S105" s="64" t="str">
        <f t="shared" si="55"/>
        <v>0.997219518674001-0.0828285137078811i</v>
      </c>
      <c r="T105" s="135" t="str">
        <f t="shared" si="66"/>
        <v>0.00997219518674001-0.000828285137078811i</v>
      </c>
      <c r="U105" s="64" t="str">
        <f t="shared" si="56"/>
        <v>0.0114830532617673+0.00088031671451142i</v>
      </c>
      <c r="W105" s="64" t="str">
        <f t="shared" si="57"/>
        <v>0.51414796766725-1.12832315933325i</v>
      </c>
      <c r="X105" s="172">
        <f t="shared" si="26"/>
        <v>1.2399440650868612</v>
      </c>
      <c r="Y105" s="188">
        <f t="shared" si="27"/>
        <v>1.8680418843409117</v>
      </c>
      <c r="Z105" s="161">
        <f t="shared" si="28"/>
        <v>-65.502460670438907</v>
      </c>
      <c r="AA105" s="161">
        <f t="shared" si="8"/>
        <v>-65.502460670438907</v>
      </c>
      <c r="AB105" s="199"/>
      <c r="AC105" s="64" t="str">
        <f t="shared" si="67"/>
        <v>-1207313.70784558i</v>
      </c>
      <c r="AD105" s="64" t="str">
        <f t="shared" si="68"/>
        <v>22000-120731.370784558i</v>
      </c>
      <c r="AE105" s="64" t="str">
        <f t="shared" si="29"/>
        <v>18176.8300505405-110056.903585726i</v>
      </c>
      <c r="AF105" s="64" t="str">
        <f t="shared" si="69"/>
        <v>10000</v>
      </c>
      <c r="AG105" s="64" t="str">
        <f t="shared" si="70"/>
        <v>-30956.7617396301i</v>
      </c>
      <c r="AH105" s="64" t="str">
        <f t="shared" si="30"/>
        <v>9055.10718585056-2925.08217171127i</v>
      </c>
      <c r="AI105" s="64" t="str">
        <f t="shared" si="31"/>
        <v>5.37286440649998-10.4185220299399i</v>
      </c>
      <c r="AJ105" s="161">
        <f t="shared" si="32"/>
        <v>11.722340773880335</v>
      </c>
      <c r="AK105" s="161">
        <f t="shared" si="33"/>
        <v>21.380286847420493</v>
      </c>
      <c r="AL105" s="161">
        <f t="shared" si="34"/>
        <v>-62.719700470904399</v>
      </c>
      <c r="AN105" s="64" t="str">
        <f t="shared" si="35"/>
        <v>-8.99301237725118-11.4189892696013i</v>
      </c>
      <c r="AO105" s="161">
        <f t="shared" si="36"/>
        <v>14.535046871498645</v>
      </c>
      <c r="AP105" s="161">
        <f t="shared" si="37"/>
        <v>23.248328731761404</v>
      </c>
      <c r="AQ105" s="161">
        <f t="shared" si="38"/>
        <v>-128.22216114134329</v>
      </c>
      <c r="AR105" s="64">
        <f t="shared" si="39"/>
        <v>51.777838858656708</v>
      </c>
      <c r="AT105" s="135" t="str">
        <f t="shared" si="71"/>
        <v>-377820.156730623i</v>
      </c>
      <c r="AU105" s="135" t="str">
        <f t="shared" si="72"/>
        <v>27456.1383070198-67627.0138362012i</v>
      </c>
      <c r="AV105" s="135" t="str">
        <f t="shared" si="40"/>
        <v>19677.5247983229-58572.8668475311i</v>
      </c>
      <c r="AW105" s="135" t="str">
        <f t="shared" si="73"/>
        <v>10000</v>
      </c>
      <c r="AX105" s="135" t="str">
        <f t="shared" si="74"/>
        <v>1789.92604368691-29039.6807725998i</v>
      </c>
      <c r="AY105" s="135" t="str">
        <f t="shared" si="41"/>
        <v>8799.76982130304-2956.2781915552i</v>
      </c>
      <c r="AZ105" s="135" t="str">
        <f t="shared" si="42"/>
        <v>4.01872061764872-5.30609455426743i</v>
      </c>
      <c r="BA105" s="182">
        <f t="shared" si="43"/>
        <v>6.6561816998592658</v>
      </c>
      <c r="BB105" s="182">
        <f t="shared" si="44"/>
        <v>16.464503375536694</v>
      </c>
      <c r="BC105" s="182">
        <f t="shared" si="45"/>
        <v>-52.860503828237121</v>
      </c>
      <c r="BE105" s="135" t="str">
        <f t="shared" si="46"/>
        <v>-3.92077233300541-7.26253327510993i</v>
      </c>
      <c r="BF105" s="161">
        <f t="shared" si="47"/>
        <v>8.2532929948802654</v>
      </c>
      <c r="BG105" s="161">
        <f t="shared" si="48"/>
        <v>18.332545259877598</v>
      </c>
      <c r="BH105" s="161">
        <f t="shared" si="49"/>
        <v>-118.36296449867599</v>
      </c>
      <c r="BI105" s="64">
        <f t="shared" si="50"/>
        <v>61.637035501324007</v>
      </c>
      <c r="BS105" s="64">
        <v>15848.931924611101</v>
      </c>
      <c r="BT105" s="64">
        <v>6.3211679014726503</v>
      </c>
      <c r="BU105" s="64">
        <v>-77.414148424218894</v>
      </c>
      <c r="BV105" s="186">
        <v>13182.567385564091</v>
      </c>
      <c r="BW105" s="64">
        <v>7.5360172533969463</v>
      </c>
      <c r="BX105" s="64">
        <v>-67.936959539913659</v>
      </c>
      <c r="BZ105" s="64">
        <v>15848.931924611101</v>
      </c>
      <c r="CA105" s="64">
        <v>-0.94016595866506403</v>
      </c>
      <c r="CB105" s="64">
        <v>-72.873221633097401</v>
      </c>
      <c r="CC105" s="186">
        <v>13182.567385564091</v>
      </c>
      <c r="CD105" s="64">
        <v>0.42413767434067889</v>
      </c>
      <c r="CE105" s="64">
        <v>-67.543306053328806</v>
      </c>
      <c r="CG105" s="64">
        <v>15848.931924611101</v>
      </c>
      <c r="CH105" s="64">
        <v>-0.36499137430540302</v>
      </c>
      <c r="CI105" s="64">
        <v>-139.87181959043201</v>
      </c>
      <c r="CJ105" s="64">
        <v>13182.567385564091</v>
      </c>
      <c r="CK105" s="64">
        <v>3.2456241225964226</v>
      </c>
      <c r="CL105" s="64">
        <v>-128.30136036738475</v>
      </c>
      <c r="CN105" s="64">
        <v>15848.931924611101</v>
      </c>
      <c r="CO105" s="64">
        <v>-0.92256200218727902</v>
      </c>
      <c r="CP105" s="64">
        <v>-77.9803541388968</v>
      </c>
      <c r="CQ105" s="186">
        <v>13182.567385564091</v>
      </c>
      <c r="CR105" s="64">
        <v>0.39877296614484015</v>
      </c>
      <c r="CS105" s="64">
        <v>-72.6724157753805</v>
      </c>
      <c r="CU105" s="64">
        <v>15848.931924611101</v>
      </c>
      <c r="CV105" s="64">
        <v>-1.3453442982905599</v>
      </c>
      <c r="CW105" s="64">
        <v>-69.372412449880201</v>
      </c>
      <c r="CX105" s="139">
        <v>13182.567385564091</v>
      </c>
      <c r="CY105" s="64">
        <v>-0.10133843593627333</v>
      </c>
      <c r="CZ105" s="64">
        <v>-63.249876603880452</v>
      </c>
    </row>
    <row r="106" spans="2:104">
      <c r="B106" s="135">
        <f t="shared" si="58"/>
        <v>4.16</v>
      </c>
      <c r="C106" s="139">
        <f t="shared" si="17"/>
        <v>14454.397707459291</v>
      </c>
      <c r="D106" s="139">
        <f t="shared" si="18"/>
        <v>90819.659299638515</v>
      </c>
      <c r="E106" s="32" t="str">
        <f t="shared" si="19"/>
        <v>90819.6592996385i</v>
      </c>
      <c r="F106"/>
      <c r="G106" s="153" t="str">
        <f t="shared" si="59"/>
        <v>0.04+0.00629122928773948i</v>
      </c>
      <c r="H106" s="153" t="str">
        <f t="shared" si="60"/>
        <v>1+2.89677668013973i</v>
      </c>
      <c r="I106" t="str">
        <f t="shared" si="52"/>
        <v>0.00619980114133475-0.0116682100799827i</v>
      </c>
      <c r="J106"/>
      <c r="K106" t="str">
        <f t="shared" si="53"/>
        <v>0.04+0.00629122928773948i</v>
      </c>
      <c r="L106" t="str">
        <f t="shared" si="61"/>
        <v>5.43580907071529+15.7463249537401i</v>
      </c>
      <c r="M106" t="str">
        <f t="shared" si="54"/>
        <v>0.00114054799583292-0.00214654523883917i</v>
      </c>
      <c r="N106" s="153" t="str">
        <f t="shared" si="62"/>
        <v>0.0011+0.0199803250459205i</v>
      </c>
      <c r="O106" s="135" t="str">
        <f t="shared" si="63"/>
        <v>0.000242+0.00439567151010251i</v>
      </c>
      <c r="Q106" s="135" t="str">
        <f t="shared" si="64"/>
        <v>-0.0908196592996385i</v>
      </c>
      <c r="R106" s="135" t="str">
        <f t="shared" si="65"/>
        <v>-0.00334287380936647</v>
      </c>
      <c r="S106" s="64" t="str">
        <f t="shared" si="55"/>
        <v>0.996657126190634-0.0908196592996385i</v>
      </c>
      <c r="T106" s="135" t="str">
        <f t="shared" si="66"/>
        <v>0.00996657126190634-0.000908196592996385i</v>
      </c>
      <c r="U106" s="64" t="str">
        <f t="shared" si="56"/>
        <v>0.0113491192577393+0.00134092967826696i</v>
      </c>
      <c r="W106" s="64" t="str">
        <f t="shared" si="57"/>
        <v>0.418956981829861-1.0776168311471i</v>
      </c>
      <c r="X106" s="172">
        <f t="shared" si="26"/>
        <v>1.1561933174843659</v>
      </c>
      <c r="Y106" s="188">
        <f t="shared" si="27"/>
        <v>1.2606090986014782</v>
      </c>
      <c r="Z106" s="161">
        <f t="shared" si="28"/>
        <v>-68.754862703675585</v>
      </c>
      <c r="AA106" s="161">
        <f t="shared" si="8"/>
        <v>-68.754862703675585</v>
      </c>
      <c r="AB106" s="199"/>
      <c r="AC106" s="64" t="str">
        <f t="shared" si="67"/>
        <v>-1101083.18805814i</v>
      </c>
      <c r="AD106" s="64" t="str">
        <f t="shared" si="68"/>
        <v>22000-110108.318805814i</v>
      </c>
      <c r="AE106" s="64" t="str">
        <f t="shared" si="29"/>
        <v>18175.82146175-100428.616024179i</v>
      </c>
      <c r="AF106" s="64" t="str">
        <f t="shared" si="69"/>
        <v>10000</v>
      </c>
      <c r="AG106" s="64" t="str">
        <f t="shared" si="70"/>
        <v>-28232.902257901i</v>
      </c>
      <c r="AH106" s="64" t="str">
        <f t="shared" si="30"/>
        <v>8885.29305472051-3147.14122322793i</v>
      </c>
      <c r="AI106" s="64" t="str">
        <f t="shared" si="31"/>
        <v>5.37473029576256-9.39908005648549i</v>
      </c>
      <c r="AJ106" s="161">
        <f t="shared" si="32"/>
        <v>10.827300294182811</v>
      </c>
      <c r="AK106" s="161">
        <f t="shared" si="33"/>
        <v>20.690403641278387</v>
      </c>
      <c r="AL106" s="161">
        <f t="shared" si="34"/>
        <v>-60.23753345936553</v>
      </c>
      <c r="AN106" s="64" t="str">
        <f t="shared" si="35"/>
        <v>-7.8768260833056-9.72971004203237i</v>
      </c>
      <c r="AO106" s="161">
        <f t="shared" si="36"/>
        <v>12.518452246530678</v>
      </c>
      <c r="AP106" s="161">
        <f t="shared" si="37"/>
        <v>21.951012739879868</v>
      </c>
      <c r="AQ106" s="161">
        <f t="shared" si="38"/>
        <v>-128.99239616304112</v>
      </c>
      <c r="AR106" s="64">
        <f t="shared" si="39"/>
        <v>51.007603836958879</v>
      </c>
      <c r="AT106" s="135" t="str">
        <f t="shared" si="71"/>
        <v>-344576.078265477i</v>
      </c>
      <c r="AU106" s="135" t="str">
        <f t="shared" si="72"/>
        <v>27456.1383070198-61676.5696518876i</v>
      </c>
      <c r="AV106" s="135" t="str">
        <f t="shared" si="40"/>
        <v>19662.4726901115-53641.8068235838i</v>
      </c>
      <c r="AW106" s="135" t="str">
        <f t="shared" si="73"/>
        <v>10000</v>
      </c>
      <c r="AX106" s="135" t="str">
        <f t="shared" si="74"/>
        <v>1789.92604368691-26484.5036360464i</v>
      </c>
      <c r="AY106" s="135" t="str">
        <f t="shared" si="41"/>
        <v>8597.15765006449-3151.29909890837i</v>
      </c>
      <c r="AZ106" s="135" t="str">
        <f t="shared" si="42"/>
        <v>4.0323887624897-4.7614043403746i</v>
      </c>
      <c r="BA106" s="182">
        <f t="shared" si="43"/>
        <v>6.2394815829835801</v>
      </c>
      <c r="BB106" s="182">
        <f t="shared" si="44"/>
        <v>15.90297014299917</v>
      </c>
      <c r="BC106" s="182">
        <f t="shared" si="45"/>
        <v>-49.739049414701746</v>
      </c>
      <c r="BE106" s="135" t="str">
        <f t="shared" si="46"/>
        <v>-3.44157203158719-6.34019359190227i</v>
      </c>
      <c r="BF106" s="161">
        <f t="shared" si="47"/>
        <v>7.2140469108123888</v>
      </c>
      <c r="BG106" s="161">
        <f t="shared" si="48"/>
        <v>17.163579241600647</v>
      </c>
      <c r="BH106" s="161">
        <f t="shared" si="49"/>
        <v>-118.49391211837731</v>
      </c>
      <c r="BI106" s="64">
        <f t="shared" si="50"/>
        <v>61.50608788162269</v>
      </c>
      <c r="BS106" s="64">
        <v>17378.0082874937</v>
      </c>
      <c r="BT106" s="64">
        <v>5.5476232687034397</v>
      </c>
      <c r="BU106" s="64">
        <v>-82.1845764005474</v>
      </c>
      <c r="BV106" s="186">
        <v>14454.397707459291</v>
      </c>
      <c r="BW106" s="64">
        <v>6.9153932320842522</v>
      </c>
      <c r="BX106" s="64">
        <v>-72.975945057990756</v>
      </c>
      <c r="BZ106" s="64">
        <v>17378.0082874937</v>
      </c>
      <c r="CA106" s="64">
        <v>-1.6296237337197801</v>
      </c>
      <c r="CB106" s="64">
        <v>-75.5046220679463</v>
      </c>
      <c r="CC106" s="186">
        <v>14454.397707459291</v>
      </c>
      <c r="CD106" s="64">
        <v>-0.22073868838224917</v>
      </c>
      <c r="CE106" s="64">
        <v>-70.192005828348314</v>
      </c>
      <c r="CG106" s="64">
        <v>17378.0082874937</v>
      </c>
      <c r="CH106" s="64">
        <v>-2.0109899221646099</v>
      </c>
      <c r="CI106" s="64">
        <v>-143.953834358774</v>
      </c>
      <c r="CJ106" s="64">
        <v>14454.397707459291</v>
      </c>
      <c r="CK106" s="64">
        <v>1.6944017745677522</v>
      </c>
      <c r="CL106" s="64">
        <v>-133.80789206824102</v>
      </c>
      <c r="CN106" s="64">
        <v>17378.0082874937</v>
      </c>
      <c r="CO106" s="64">
        <v>-1.65407813123208</v>
      </c>
      <c r="CP106" s="64">
        <v>-80.879688728296998</v>
      </c>
      <c r="CQ106" s="186">
        <v>14454.397707459291</v>
      </c>
      <c r="CR106" s="64">
        <v>-0.28087027563040162</v>
      </c>
      <c r="CS106" s="64">
        <v>-75.807494554005174</v>
      </c>
      <c r="CU106" s="64">
        <v>17378.0082874937</v>
      </c>
      <c r="CV106" s="64">
        <v>-1.9830335784761699</v>
      </c>
      <c r="CW106" s="64">
        <v>-72.519284691174406</v>
      </c>
      <c r="CX106" s="139">
        <v>14454.397707459291</v>
      </c>
      <c r="CY106" s="64">
        <v>-0.68194642868471234</v>
      </c>
      <c r="CZ106" s="64">
        <v>-66.352809568659239</v>
      </c>
    </row>
    <row r="107" spans="2:104">
      <c r="B107" s="135">
        <f t="shared" si="58"/>
        <v>4.2</v>
      </c>
      <c r="C107" s="139">
        <f t="shared" si="17"/>
        <v>15848.931924611146</v>
      </c>
      <c r="D107" s="139">
        <f t="shared" si="18"/>
        <v>99581.776203206231</v>
      </c>
      <c r="E107" s="32" t="str">
        <f t="shared" si="19"/>
        <v>99581.7762032062i</v>
      </c>
      <c r="F107"/>
      <c r="G107" s="153" t="str">
        <f t="shared" si="59"/>
        <v>0.04+0.00687234659146444i</v>
      </c>
      <c r="H107" s="153" t="str">
        <f t="shared" si="60"/>
        <v>1+3.16838280032246i</v>
      </c>
      <c r="I107" t="str">
        <f t="shared" si="52"/>
        <v>0.00559617590448836-0.0108584808918955i</v>
      </c>
      <c r="J107"/>
      <c r="K107" t="str">
        <f t="shared" si="53"/>
        <v>0.04+0.00687234659146444i</v>
      </c>
      <c r="L107" t="str">
        <f t="shared" si="61"/>
        <v>5.43580907071529+17.2227239654911i</v>
      </c>
      <c r="M107" t="str">
        <f t="shared" si="54"/>
        <v>0.00102950192541475-0.00199758320254369i</v>
      </c>
      <c r="N107" s="153" t="str">
        <f t="shared" si="62"/>
        <v>0.0011+0.0219079907647054i</v>
      </c>
      <c r="O107" s="135" t="str">
        <f t="shared" si="63"/>
        <v>0.000242+0.00481975796823519i</v>
      </c>
      <c r="Q107" s="135" t="str">
        <f t="shared" si="64"/>
        <v>-0.0995817762032062i</v>
      </c>
      <c r="R107" s="135" t="str">
        <f t="shared" si="65"/>
        <v>-0.00401901829041533</v>
      </c>
      <c r="S107" s="64" t="str">
        <f t="shared" si="55"/>
        <v>0.995980981709585-0.0995817762032062i</v>
      </c>
      <c r="T107" s="135" t="str">
        <f t="shared" si="66"/>
        <v>0.00995980981709585-0.000995817762032062i</v>
      </c>
      <c r="U107" s="64" t="str">
        <f t="shared" si="56"/>
        <v>0.0112313117425106+0.00182635700365944i</v>
      </c>
      <c r="W107" s="64" t="str">
        <f t="shared" si="57"/>
        <v>0.33226457268362-1.02083486632179i</v>
      </c>
      <c r="X107" s="172">
        <f t="shared" si="26"/>
        <v>1.0735471906529566</v>
      </c>
      <c r="Y107" s="188">
        <f t="shared" si="27"/>
        <v>0.61642279546810419</v>
      </c>
      <c r="Z107" s="161">
        <f t="shared" si="28"/>
        <v>-71.970802859779837</v>
      </c>
      <c r="AA107" s="161">
        <f t="shared" si="8"/>
        <v>-71.970802859779837</v>
      </c>
      <c r="AB107" s="199"/>
      <c r="AC107" s="64" t="str">
        <f t="shared" si="67"/>
        <v>-1004199.80254159i</v>
      </c>
      <c r="AD107" s="64" t="str">
        <f t="shared" si="68"/>
        <v>22000-100419.980254158i</v>
      </c>
      <c r="AE107" s="64" t="str">
        <f t="shared" si="29"/>
        <v>18174.6090194847-91652.8631097355i</v>
      </c>
      <c r="AF107" s="64" t="str">
        <f t="shared" si="69"/>
        <v>10000</v>
      </c>
      <c r="AG107" s="64" t="str">
        <f t="shared" si="70"/>
        <v>-25748.7128856817i</v>
      </c>
      <c r="AH107" s="64" t="str">
        <f t="shared" si="30"/>
        <v>8689.37750936669-3374.68422128341i</v>
      </c>
      <c r="AI107" s="64" t="str">
        <f t="shared" si="31"/>
        <v>5.37697331395341-8.4594409702695i</v>
      </c>
      <c r="AJ107" s="161">
        <f t="shared" si="32"/>
        <v>10.023671161228368</v>
      </c>
      <c r="AK107" s="161">
        <f t="shared" si="33"/>
        <v>20.020536213180563</v>
      </c>
      <c r="AL107" s="161">
        <f t="shared" si="34"/>
        <v>-57.559224108054799</v>
      </c>
      <c r="AN107" s="64" t="str">
        <f t="shared" si="35"/>
        <v>-6.84911455155018-8.29977437329437i</v>
      </c>
      <c r="AO107" s="161">
        <f t="shared" si="36"/>
        <v>10.760884015165779</v>
      </c>
      <c r="AP107" s="161">
        <f t="shared" si="37"/>
        <v>20.636959008648667</v>
      </c>
      <c r="AQ107" s="161">
        <f t="shared" si="38"/>
        <v>-129.5300269678346</v>
      </c>
      <c r="AR107" s="64">
        <f t="shared" si="39"/>
        <v>50.469973032165399</v>
      </c>
      <c r="AT107" s="135" t="str">
        <f t="shared" si="71"/>
        <v>-314257.118360865i</v>
      </c>
      <c r="AU107" s="135" t="str">
        <f t="shared" si="72"/>
        <v>27456.1383070198-56249.7000568112i</v>
      </c>
      <c r="AV107" s="135" t="str">
        <f t="shared" si="40"/>
        <v>19644.4065332562-49165.7029931297i</v>
      </c>
      <c r="AW107" s="135" t="str">
        <f t="shared" si="73"/>
        <v>10000</v>
      </c>
      <c r="AX107" s="135" t="str">
        <f t="shared" si="74"/>
        <v>1789.92604368691-24154.1543910354i</v>
      </c>
      <c r="AY107" s="135" t="str">
        <f t="shared" si="41"/>
        <v>8368.00811342396-3343.48017512649i</v>
      </c>
      <c r="AZ107" s="135" t="str">
        <f t="shared" si="42"/>
        <v>4.04875998353437-4.25773419090995i</v>
      </c>
      <c r="BA107" s="182">
        <f t="shared" si="43"/>
        <v>5.8754368216084867</v>
      </c>
      <c r="BB107" s="182">
        <f t="shared" si="44"/>
        <v>15.38080321346885</v>
      </c>
      <c r="BC107" s="182">
        <f t="shared" si="45"/>
        <v>-46.441139276778856</v>
      </c>
      <c r="BE107" s="135" t="str">
        <f t="shared" si="46"/>
        <v>-3.00118400778369-5.54780958810345i</v>
      </c>
      <c r="BF107" s="161">
        <f t="shared" si="47"/>
        <v>6.3075586936967261</v>
      </c>
      <c r="BG107" s="161">
        <f t="shared" si="48"/>
        <v>15.997226008936954</v>
      </c>
      <c r="BH107" s="161">
        <f t="shared" si="49"/>
        <v>-118.41194213655872</v>
      </c>
      <c r="BI107" s="64">
        <f t="shared" si="50"/>
        <v>61.588057863441279</v>
      </c>
      <c r="BS107" s="64">
        <v>19054.607179632399</v>
      </c>
      <c r="BT107" s="64">
        <v>4.70034990221823</v>
      </c>
      <c r="BU107" s="64">
        <v>-86.790322285977396</v>
      </c>
      <c r="BV107" s="186">
        <v>15848.931924611146</v>
      </c>
      <c r="BW107" s="64">
        <v>6.2084969649407782</v>
      </c>
      <c r="BX107" s="64">
        <v>-77.987701849724161</v>
      </c>
      <c r="BZ107" s="64">
        <v>19054.607179632399</v>
      </c>
      <c r="CA107" s="64">
        <v>-2.3409483327230598</v>
      </c>
      <c r="CB107" s="64">
        <v>-78.078368869088806</v>
      </c>
      <c r="CC107" s="186">
        <v>15848.931924611146</v>
      </c>
      <c r="CD107" s="64">
        <v>-0.88983575292171602</v>
      </c>
      <c r="CE107" s="64">
        <v>-72.77279342580448</v>
      </c>
      <c r="CG107" s="64">
        <v>19054.607179632399</v>
      </c>
      <c r="CH107" s="64">
        <v>-3.6635575258793098</v>
      </c>
      <c r="CI107" s="64">
        <v>-147.48635086392201</v>
      </c>
      <c r="CJ107" s="64">
        <v>15848.931924611146</v>
      </c>
      <c r="CK107" s="64">
        <v>0.10360188972308876</v>
      </c>
      <c r="CL107" s="64">
        <v>-138.62570659484103</v>
      </c>
      <c r="CN107" s="64">
        <v>19054.607179632399</v>
      </c>
      <c r="CO107" s="64">
        <v>-2.41142666759663</v>
      </c>
      <c r="CP107" s="64">
        <v>-83.731576086326399</v>
      </c>
      <c r="CQ107" s="186">
        <v>15848.931924611146</v>
      </c>
      <c r="CR107" s="64">
        <v>-0.9919522035445405</v>
      </c>
      <c r="CS107" s="64">
        <v>-78.898947181446943</v>
      </c>
      <c r="CU107" s="64">
        <v>19054.607179632399</v>
      </c>
      <c r="CV107" s="64">
        <v>-2.6512943201971102</v>
      </c>
      <c r="CW107" s="64">
        <v>-75.634240698654494</v>
      </c>
      <c r="CX107" s="139">
        <v>15848.931924611146</v>
      </c>
      <c r="CY107" s="64">
        <v>-1.2952243810417179</v>
      </c>
      <c r="CZ107" s="64">
        <v>-69.422678237943856</v>
      </c>
    </row>
    <row r="108" spans="2:104">
      <c r="B108" s="135">
        <f t="shared" si="58"/>
        <v>4.24</v>
      </c>
      <c r="C108" s="139">
        <f t="shared" si="17"/>
        <v>17378.008287493791</v>
      </c>
      <c r="D108" s="139">
        <f t="shared" si="18"/>
        <v>109189.24634002607</v>
      </c>
      <c r="E108" s="32" t="str">
        <f t="shared" si="19"/>
        <v>109189.246340026i</v>
      </c>
      <c r="F108"/>
      <c r="G108" s="153" t="str">
        <f t="shared" si="59"/>
        <v>0.04+0.0075015893848436i</v>
      </c>
      <c r="H108" s="153" t="str">
        <f t="shared" si="60"/>
        <v>1+3.46377637300362i</v>
      </c>
      <c r="I108" t="str">
        <f t="shared" si="52"/>
        <v>0.00507655898199225-0.0100824756731405i</v>
      </c>
      <c r="J108"/>
      <c r="K108" t="str">
        <f t="shared" si="53"/>
        <v>0.04+0.0075015893848436i</v>
      </c>
      <c r="L108" t="str">
        <f t="shared" si="61"/>
        <v>5.43580907071529+18.8284270273024i</v>
      </c>
      <c r="M108" t="str">
        <f t="shared" si="54"/>
        <v>0.000933910465939936-0.00185482520485469i</v>
      </c>
      <c r="N108" s="153" t="str">
        <f t="shared" si="62"/>
        <v>0.0011+0.0240216341948057i</v>
      </c>
      <c r="O108" s="135" t="str">
        <f t="shared" si="63"/>
        <v>0.000242+0.00528475952285725i</v>
      </c>
      <c r="Q108" s="135" t="str">
        <f t="shared" si="64"/>
        <v>-0.109189246340026i</v>
      </c>
      <c r="R108" s="135" t="str">
        <f t="shared" si="65"/>
        <v>-0.00483192275264325</v>
      </c>
      <c r="S108" s="64" t="str">
        <f t="shared" si="55"/>
        <v>0.995168077247357-0.109189246340026i</v>
      </c>
      <c r="T108" s="135" t="str">
        <f t="shared" si="66"/>
        <v>0.00995168077247357-0.00109189246340026i</v>
      </c>
      <c r="U108" s="64" t="str">
        <f t="shared" si="56"/>
        <v>0.0111275912384135+0.0023380418546023i</v>
      </c>
      <c r="W108" s="64" t="str">
        <f t="shared" si="57"/>
        <v>0.254595813781072-0.959572571726632i</v>
      </c>
      <c r="X108" s="172">
        <f t="shared" si="26"/>
        <v>0.99277316080004319</v>
      </c>
      <c r="Y108" s="188">
        <f t="shared" si="27"/>
        <v>-6.2999446342808824E-2</v>
      </c>
      <c r="Z108" s="161">
        <f t="shared" si="28"/>
        <v>-75.140530087587294</v>
      </c>
      <c r="AA108" s="161">
        <f t="shared" si="8"/>
        <v>-75.140530087587294</v>
      </c>
      <c r="AB108" s="199"/>
      <c r="AC108" s="64" t="str">
        <f t="shared" si="67"/>
        <v>-915841.104796988i</v>
      </c>
      <c r="AD108" s="64" t="str">
        <f t="shared" si="68"/>
        <v>22000-91584.1104796988i</v>
      </c>
      <c r="AE108" s="64" t="str">
        <f t="shared" si="29"/>
        <v>18173.1515573926-83655.1447987064i</v>
      </c>
      <c r="AF108" s="64" t="str">
        <f t="shared" si="69"/>
        <v>10000</v>
      </c>
      <c r="AG108" s="64" t="str">
        <f t="shared" si="70"/>
        <v>-23483.1052512048i</v>
      </c>
      <c r="AH108" s="64" t="str">
        <f t="shared" si="30"/>
        <v>8464.97746047676-3604.70958585959i</v>
      </c>
      <c r="AI108" s="64" t="str">
        <f t="shared" si="31"/>
        <v>5.3796696188235-7.59163251822248i</v>
      </c>
      <c r="AJ108" s="161">
        <f t="shared" si="32"/>
        <v>9.3045004970404293</v>
      </c>
      <c r="AK108" s="161">
        <f t="shared" si="33"/>
        <v>19.373861268407602</v>
      </c>
      <c r="AL108" s="161">
        <f t="shared" si="34"/>
        <v>-54.677413806907666</v>
      </c>
      <c r="AN108" s="64" t="str">
        <f t="shared" si="35"/>
        <v>-5.91508097463659-7.0949812700778i</v>
      </c>
      <c r="AO108" s="161">
        <f t="shared" si="36"/>
        <v>9.2372583681123999</v>
      </c>
      <c r="AP108" s="161">
        <f t="shared" si="37"/>
        <v>19.310861822064794</v>
      </c>
      <c r="AQ108" s="161">
        <f t="shared" si="38"/>
        <v>-129.8179438944949</v>
      </c>
      <c r="AR108" s="64">
        <f t="shared" si="39"/>
        <v>50.182056105505097</v>
      </c>
      <c r="AT108" s="135" t="str">
        <f t="shared" si="71"/>
        <v>-286605.898289862i</v>
      </c>
      <c r="AU108" s="135" t="str">
        <f t="shared" si="72"/>
        <v>27456.1383070198-51300.3361623305i</v>
      </c>
      <c r="AV108" s="135" t="str">
        <f t="shared" si="40"/>
        <v>19622.7301373078-45106.4282542685i</v>
      </c>
      <c r="AW108" s="135" t="str">
        <f t="shared" si="73"/>
        <v>10000</v>
      </c>
      <c r="AX108" s="135" t="str">
        <f t="shared" si="74"/>
        <v>1789.92604368691-22028.8506201004i</v>
      </c>
      <c r="AY108" s="135" t="str">
        <f t="shared" si="41"/>
        <v>8111.41386854433-3528.72287908095i</v>
      </c>
      <c r="AZ108" s="135" t="str">
        <f t="shared" si="42"/>
        <v>4.06835400454294-3.79099561390715i</v>
      </c>
      <c r="BA108" s="182">
        <f t="shared" si="43"/>
        <v>5.5608589310414827</v>
      </c>
      <c r="BB108" s="182">
        <f t="shared" si="44"/>
        <v>14.902837558983277</v>
      </c>
      <c r="BC108" s="182">
        <f t="shared" si="45"/>
        <v>-42.978856545736576</v>
      </c>
      <c r="BE108" s="135" t="str">
        <f t="shared" si="46"/>
        <v>-2.60194951210517-4.86905252819678i</v>
      </c>
      <c r="BF108" s="161">
        <f t="shared" si="47"/>
        <v>5.520671497733205</v>
      </c>
      <c r="BG108" s="161">
        <f t="shared" si="48"/>
        <v>14.839838112640473</v>
      </c>
      <c r="BH108" s="161">
        <f t="shared" si="49"/>
        <v>-118.1193866333238</v>
      </c>
      <c r="BI108" s="64">
        <f t="shared" si="50"/>
        <v>61.880613366676201</v>
      </c>
      <c r="BS108" s="64">
        <v>20892.9613085403</v>
      </c>
      <c r="BT108" s="64">
        <v>3.78687765758314</v>
      </c>
      <c r="BU108" s="64">
        <v>-91.174425149664103</v>
      </c>
      <c r="BV108" s="186">
        <v>17378.008287493791</v>
      </c>
      <c r="BW108" s="64">
        <v>5.4177603744357326</v>
      </c>
      <c r="BX108" s="64">
        <v>-82.886259311465892</v>
      </c>
      <c r="BZ108" s="64">
        <v>20892.9613085403</v>
      </c>
      <c r="CA108" s="64">
        <v>-3.07244383935029</v>
      </c>
      <c r="CB108" s="64">
        <v>-80.600322969208307</v>
      </c>
      <c r="CC108" s="186">
        <v>17378.008287493791</v>
      </c>
      <c r="CD108" s="64">
        <v>-1.5809550208304233</v>
      </c>
      <c r="CE108" s="64">
        <v>-75.287640834569459</v>
      </c>
      <c r="CG108" s="64">
        <v>20892.9613085403</v>
      </c>
      <c r="CH108" s="64">
        <v>-5.3166133316322197</v>
      </c>
      <c r="CI108" s="64">
        <v>-150.55037654456001</v>
      </c>
      <c r="CJ108" s="64">
        <v>17378.008287493791</v>
      </c>
      <c r="CK108" s="64">
        <v>-1.5107261633786542</v>
      </c>
      <c r="CL108" s="64">
        <v>-142.83336049576707</v>
      </c>
      <c r="CN108" s="64">
        <v>20892.9613085403</v>
      </c>
      <c r="CO108" s="64">
        <v>-3.1934416575344802</v>
      </c>
      <c r="CP108" s="64">
        <v>-86.538853024239202</v>
      </c>
      <c r="CQ108" s="186">
        <v>17378.008287493791</v>
      </c>
      <c r="CR108" s="64">
        <v>-1.7330994053781825</v>
      </c>
      <c r="CS108" s="64">
        <v>-81.945189081642553</v>
      </c>
      <c r="CU108" s="64">
        <v>20892.9613085403</v>
      </c>
      <c r="CV108" s="64">
        <v>-3.3485069449112999</v>
      </c>
      <c r="CW108" s="64">
        <v>-78.717491951323595</v>
      </c>
      <c r="CX108" s="139">
        <v>17378.008287493791</v>
      </c>
      <c r="CY108" s="64">
        <v>-1.9392937027927513</v>
      </c>
      <c r="CZ108" s="64">
        <v>-72.454257170730585</v>
      </c>
    </row>
    <row r="109" spans="2:104">
      <c r="B109" s="135">
        <f t="shared" si="58"/>
        <v>4.28</v>
      </c>
      <c r="C109" s="139">
        <f t="shared" si="17"/>
        <v>19054.607179632505</v>
      </c>
      <c r="D109" s="139">
        <f t="shared" si="18"/>
        <v>119723.62786514561</v>
      </c>
      <c r="E109" s="32" t="str">
        <f t="shared" si="19"/>
        <v>119723.627865146i</v>
      </c>
      <c r="F109"/>
      <c r="G109" s="153" t="str">
        <f t="shared" si="59"/>
        <v>0.04+0.00818123544053376i</v>
      </c>
      <c r="H109" s="153" t="str">
        <f t="shared" si="60"/>
        <v>1+3.78453277855905i</v>
      </c>
      <c r="I109" t="str">
        <f t="shared" si="52"/>
        <v>0.00463118168716149-0.00934562345799131i</v>
      </c>
      <c r="J109"/>
      <c r="K109" t="str">
        <f t="shared" si="53"/>
        <v>0.04+0.00818123544053376i</v>
      </c>
      <c r="L109" t="str">
        <f t="shared" si="61"/>
        <v>5.43580907071529+20.5719976061106i</v>
      </c>
      <c r="M109" t="str">
        <f t="shared" si="54"/>
        <v>0.000851976518474754-0.00171926999944491i</v>
      </c>
      <c r="N109" s="153" t="str">
        <f t="shared" si="62"/>
        <v>0.0011+0.0263391981303321i</v>
      </c>
      <c r="O109" s="135" t="str">
        <f t="shared" si="63"/>
        <v>0.000242+0.00579462358867306i</v>
      </c>
      <c r="Q109" s="135" t="str">
        <f t="shared" si="64"/>
        <v>-0.119723627865146i</v>
      </c>
      <c r="R109" s="135" t="str">
        <f t="shared" si="65"/>
        <v>-0.00580924887632169</v>
      </c>
      <c r="S109" s="64" t="str">
        <f t="shared" si="55"/>
        <v>0.994190751123678-0.119723627865146i</v>
      </c>
      <c r="T109" s="135" t="str">
        <f t="shared" si="66"/>
        <v>0.00994190751123678-0.00119723627865146i</v>
      </c>
      <c r="U109" s="64" t="str">
        <f t="shared" si="56"/>
        <v>0.0110358840297115+0.00287811731057669i</v>
      </c>
      <c r="W109" s="64" t="str">
        <f t="shared" si="57"/>
        <v>0.186135033530164-0.895382906661223i</v>
      </c>
      <c r="X109" s="172">
        <f t="shared" si="26"/>
        <v>0.91452545084780201</v>
      </c>
      <c r="Y109" s="188">
        <f t="shared" si="27"/>
        <v>-0.776084075835346</v>
      </c>
      <c r="Z109" s="161">
        <f t="shared" si="28"/>
        <v>-78.256433062840131</v>
      </c>
      <c r="AA109" s="161">
        <f t="shared" si="8"/>
        <v>-78.256433062840131</v>
      </c>
      <c r="AB109" s="199"/>
      <c r="AC109" s="64" t="str">
        <f t="shared" si="67"/>
        <v>-835257.014702545i</v>
      </c>
      <c r="AD109" s="64" t="str">
        <f t="shared" si="68"/>
        <v>22000-83525.7014702545i</v>
      </c>
      <c r="AE109" s="64" t="str">
        <f t="shared" si="29"/>
        <v>18171.3996119809-76367.5650590363i</v>
      </c>
      <c r="AF109" s="64" t="str">
        <f t="shared" si="69"/>
        <v>10000</v>
      </c>
      <c r="AG109" s="64" t="str">
        <f t="shared" si="70"/>
        <v>-21416.8465308345i</v>
      </c>
      <c r="AH109" s="64" t="str">
        <f t="shared" si="30"/>
        <v>8210.07079963341-3833.46389853105i</v>
      </c>
      <c r="AI109" s="64" t="str">
        <f t="shared" si="31"/>
        <v>5.38291071783528-6.78829361077951i</v>
      </c>
      <c r="AJ109" s="161">
        <f t="shared" si="32"/>
        <v>8.6635245681152107</v>
      </c>
      <c r="AK109" s="161">
        <f t="shared" si="33"/>
        <v>18.753892226201568</v>
      </c>
      <c r="AL109" s="161">
        <f t="shared" si="34"/>
        <v>-51.586651396027996</v>
      </c>
      <c r="AN109" s="64" t="str">
        <f t="shared" si="35"/>
        <v>-5.07617379753542-6.08330550368825i</v>
      </c>
      <c r="AO109" s="161">
        <f t="shared" si="36"/>
        <v>7.9230137115865782</v>
      </c>
      <c r="AP109" s="161">
        <f t="shared" si="37"/>
        <v>17.977808150366229</v>
      </c>
      <c r="AQ109" s="161">
        <f t="shared" si="38"/>
        <v>-129.84308445886811</v>
      </c>
      <c r="AR109" s="64">
        <f t="shared" si="39"/>
        <v>50.156915541131895</v>
      </c>
      <c r="AT109" s="135" t="str">
        <f t="shared" si="71"/>
        <v>-261387.685863691i</v>
      </c>
      <c r="AU109" s="135" t="str">
        <f t="shared" si="72"/>
        <v>27456.1383070198-46786.4626426474i</v>
      </c>
      <c r="AV109" s="135" t="str">
        <f t="shared" si="40"/>
        <v>19596.7326227876-41429.3537048711i</v>
      </c>
      <c r="AW109" s="135" t="str">
        <f t="shared" si="73"/>
        <v>10000</v>
      </c>
      <c r="AX109" s="135" t="str">
        <f t="shared" si="74"/>
        <v>1789.92604368691-20090.5505440837i</v>
      </c>
      <c r="AY109" s="135" t="str">
        <f t="shared" si="41"/>
        <v>7827.27271871782-3702.42248351361i</v>
      </c>
      <c r="AZ109" s="135" t="str">
        <f t="shared" si="42"/>
        <v>4.0917839178404-3.35747097030807i</v>
      </c>
      <c r="BA109" s="182">
        <f t="shared" si="43"/>
        <v>5.2929487950252021</v>
      </c>
      <c r="BB109" s="182">
        <f t="shared" si="44"/>
        <v>14.473953851313858</v>
      </c>
      <c r="BC109" s="182">
        <f t="shared" si="45"/>
        <v>-39.370236157679493</v>
      </c>
      <c r="BE109" s="135" t="str">
        <f t="shared" si="46"/>
        <v>-2.24459777967971-4.28865634942043i</v>
      </c>
      <c r="BF109" s="161">
        <f t="shared" si="47"/>
        <v>4.8405363830847561</v>
      </c>
      <c r="BG109" s="161">
        <f t="shared" si="48"/>
        <v>13.697869775478519</v>
      </c>
      <c r="BH109" s="161">
        <f t="shared" si="49"/>
        <v>-117.6266692205196</v>
      </c>
      <c r="BI109" s="64">
        <f t="shared" si="50"/>
        <v>62.373330779480398</v>
      </c>
      <c r="BS109" s="64">
        <v>22908.676527677701</v>
      </c>
      <c r="BT109" s="64">
        <v>2.8164339803774601</v>
      </c>
      <c r="BU109" s="64">
        <v>-95.296777946525495</v>
      </c>
      <c r="BV109" s="186">
        <v>19054.607179632505</v>
      </c>
      <c r="BW109" s="64">
        <v>4.549133929837784</v>
      </c>
      <c r="BX109" s="64">
        <v>-87.593753294989753</v>
      </c>
      <c r="BZ109" s="64">
        <v>22908.676527677701</v>
      </c>
      <c r="CA109" s="64">
        <v>-3.8227054323406202</v>
      </c>
      <c r="CB109" s="64">
        <v>-83.078192489453102</v>
      </c>
      <c r="CC109" s="186">
        <v>19054.607179632505</v>
      </c>
      <c r="CD109" s="64">
        <v>-2.2920932074697857</v>
      </c>
      <c r="CE109" s="64">
        <v>-77.741215612909841</v>
      </c>
      <c r="CG109" s="64">
        <v>22908.676527677701</v>
      </c>
      <c r="CH109" s="64">
        <v>-6.9667156144570299</v>
      </c>
      <c r="CI109" s="64">
        <v>-153.21447026777801</v>
      </c>
      <c r="CJ109" s="64">
        <v>19054.607179632505</v>
      </c>
      <c r="CK109" s="64">
        <v>-3.1378342640032808</v>
      </c>
      <c r="CL109" s="64">
        <v>-146.51014128104748</v>
      </c>
      <c r="CN109" s="64">
        <v>22908.676527677701</v>
      </c>
      <c r="CO109" s="64">
        <v>-3.9991739349414299</v>
      </c>
      <c r="CP109" s="64">
        <v>-89.304966883414806</v>
      </c>
      <c r="CQ109" s="186">
        <v>19054.607179632505</v>
      </c>
      <c r="CR109" s="64">
        <v>-2.5031230639069921</v>
      </c>
      <c r="CS109" s="64">
        <v>-84.946119061920484</v>
      </c>
      <c r="CU109" s="64">
        <v>22908.676527677701</v>
      </c>
      <c r="CV109" s="64">
        <v>-4.0732691736112496</v>
      </c>
      <c r="CW109" s="64">
        <v>-81.771904544287594</v>
      </c>
      <c r="CX109" s="139">
        <v>19054.607179632505</v>
      </c>
      <c r="CY109" s="64">
        <v>-2.6122972170292376</v>
      </c>
      <c r="CZ109" s="64">
        <v>-75.445591043952447</v>
      </c>
    </row>
    <row r="110" spans="2:104">
      <c r="B110" s="135">
        <f t="shared" si="58"/>
        <v>4.32</v>
      </c>
      <c r="C110" s="139">
        <f t="shared" si="17"/>
        <v>20892.961308540423</v>
      </c>
      <c r="D110" s="139">
        <f t="shared" si="18"/>
        <v>131274.34751729277</v>
      </c>
      <c r="E110" s="32" t="str">
        <f t="shared" si="19"/>
        <v>131274.347517293i</v>
      </c>
      <c r="F110"/>
      <c r="G110" s="153" t="str">
        <f t="shared" si="59"/>
        <v>0.04+0.008913118549259i</v>
      </c>
      <c r="H110" s="153" t="str">
        <f t="shared" si="60"/>
        <v>1+4.13217765847415i</v>
      </c>
      <c r="I110" t="str">
        <f t="shared" si="52"/>
        <v>0.00425068036264741-0.00865144787858744i</v>
      </c>
      <c r="J110"/>
      <c r="K110" t="str">
        <f t="shared" si="53"/>
        <v>0.04+0.008913118549259i</v>
      </c>
      <c r="L110" t="str">
        <f t="shared" si="61"/>
        <v>5.43580907071529+22.4617287977408i</v>
      </c>
      <c r="M110" t="str">
        <f t="shared" si="54"/>
        <v>0.000781977495410464-0.00159156581219822i</v>
      </c>
      <c r="N110" s="153" t="str">
        <f t="shared" si="62"/>
        <v>0.0011+0.0288803564538045i</v>
      </c>
      <c r="O110" s="135" t="str">
        <f t="shared" si="63"/>
        <v>0.000242+0.00635367841983699i</v>
      </c>
      <c r="Q110" s="135" t="str">
        <f t="shared" si="64"/>
        <v>-0.131274347517293i</v>
      </c>
      <c r="R110" s="135" t="str">
        <f t="shared" si="65"/>
        <v>-0.00698425331584269</v>
      </c>
      <c r="S110" s="64" t="str">
        <f t="shared" si="55"/>
        <v>0.993015746684157-0.131274347517293i</v>
      </c>
      <c r="T110" s="135" t="str">
        <f t="shared" si="66"/>
        <v>0.00993015746684157-0.00131274347517293i</v>
      </c>
      <c r="U110" s="64" t="str">
        <f t="shared" si="56"/>
        <v>0.010954134962252+0.00344936913246584i</v>
      </c>
      <c r="W110" s="64" t="str">
        <f t="shared" si="57"/>
        <v>0.126774845869704-0.829708703610404i</v>
      </c>
      <c r="X110" s="172">
        <f t="shared" si="26"/>
        <v>0.83933806919032594</v>
      </c>
      <c r="Y110" s="188">
        <f t="shared" si="27"/>
        <v>-1.5212615698041136</v>
      </c>
      <c r="Z110" s="161">
        <f t="shared" si="28"/>
        <v>-81.31271460347763</v>
      </c>
      <c r="AA110" s="161">
        <f t="shared" si="8"/>
        <v>-81.31271460347763</v>
      </c>
      <c r="AB110" s="199"/>
      <c r="AC110" s="64" t="str">
        <f t="shared" si="67"/>
        <v>-761763.45105678i</v>
      </c>
      <c r="AD110" s="64" t="str">
        <f t="shared" si="68"/>
        <v>22000-76176.345105678i</v>
      </c>
      <c r="AE110" s="64" t="str">
        <f t="shared" si="29"/>
        <v>18169.2937574471-69728.2552599154i</v>
      </c>
      <c r="AF110" s="64" t="str">
        <f t="shared" si="69"/>
        <v>10000</v>
      </c>
      <c r="AG110" s="64" t="str">
        <f t="shared" si="70"/>
        <v>-19532.3961809431i</v>
      </c>
      <c r="AH110" s="64" t="str">
        <f t="shared" si="30"/>
        <v>7923.21934475982-4056.45025390697i</v>
      </c>
      <c r="AI110" s="64" t="str">
        <f t="shared" si="31"/>
        <v>5.38680654872291-6.04261227467658i</v>
      </c>
      <c r="AJ110" s="161">
        <f t="shared" si="32"/>
        <v>8.0951125931290235</v>
      </c>
      <c r="AK110" s="161">
        <f t="shared" si="33"/>
        <v>18.16445787274418</v>
      </c>
      <c r="AL110" s="161">
        <f t="shared" si="34"/>
        <v>-48.283959221259707</v>
      </c>
      <c r="AN110" s="64" t="str">
        <f t="shared" si="35"/>
        <v>-4.33069642689796-5.23553151791342i</v>
      </c>
      <c r="AO110" s="161">
        <f t="shared" si="36"/>
        <v>6.794536173795203</v>
      </c>
      <c r="AP110" s="161">
        <f t="shared" si="37"/>
        <v>16.643196302940058</v>
      </c>
      <c r="AQ110" s="161">
        <f t="shared" si="38"/>
        <v>-129.59667382473734</v>
      </c>
      <c r="AR110" s="64">
        <f t="shared" si="39"/>
        <v>50.403326175262663</v>
      </c>
      <c r="AT110" s="135" t="str">
        <f t="shared" si="71"/>
        <v>-238388.402781844i</v>
      </c>
      <c r="AU110" s="135" t="str">
        <f t="shared" si="72"/>
        <v>27456.1383070198-42669.7610652148i</v>
      </c>
      <c r="AV110" s="135" t="str">
        <f t="shared" si="40"/>
        <v>19565.5677862222-38103.0423597334i</v>
      </c>
      <c r="AW110" s="135" t="str">
        <f t="shared" si="73"/>
        <v>10000</v>
      </c>
      <c r="AX110" s="135" t="str">
        <f t="shared" si="74"/>
        <v>1789.92604368691-18322.7998648321i</v>
      </c>
      <c r="AY110" s="135" t="str">
        <f t="shared" si="41"/>
        <v>7516.48477409303-3859.64697971308i</v>
      </c>
      <c r="AZ110" s="135" t="str">
        <f t="shared" si="42"/>
        <v>4.11977003628635-2.95379888995349i</v>
      </c>
      <c r="BA110" s="182">
        <f t="shared" si="43"/>
        <v>5.0692635593519197</v>
      </c>
      <c r="BB110" s="182">
        <f t="shared" si="44"/>
        <v>14.098897429899473</v>
      </c>
      <c r="BC110" s="182">
        <f t="shared" si="45"/>
        <v>-35.639823026463532</v>
      </c>
      <c r="BE110" s="135" t="str">
        <f t="shared" si="46"/>
        <v>-1.92850943634033-3.79267645498409i</v>
      </c>
      <c r="BF110" s="161">
        <f t="shared" si="47"/>
        <v>4.2548258881233183</v>
      </c>
      <c r="BG110" s="161">
        <f t="shared" si="48"/>
        <v>12.577635860095356</v>
      </c>
      <c r="BH110" s="161">
        <f t="shared" si="49"/>
        <v>-116.95253762994111</v>
      </c>
      <c r="BI110" s="64">
        <f t="shared" si="50"/>
        <v>63.047462370058895</v>
      </c>
      <c r="BS110" s="64">
        <v>25118.8643150957</v>
      </c>
      <c r="BT110" s="64">
        <v>1.7989956063335899</v>
      </c>
      <c r="BU110" s="64">
        <v>-99.135898137611406</v>
      </c>
      <c r="BV110" s="186">
        <v>20892.961308540423</v>
      </c>
      <c r="BW110" s="64">
        <v>3.6114022827156256</v>
      </c>
      <c r="BX110" s="64">
        <v>-92.047752976858035</v>
      </c>
      <c r="BZ110" s="64">
        <v>25118.8643150957</v>
      </c>
      <c r="CA110" s="64">
        <v>-4.5906512315214103</v>
      </c>
      <c r="CB110" s="64">
        <v>-85.521089105517603</v>
      </c>
      <c r="CC110" s="186">
        <v>20892.961308540423</v>
      </c>
      <c r="CD110" s="64">
        <v>-3.0215020592997859</v>
      </c>
      <c r="CE110" s="64">
        <v>-80.140488548444793</v>
      </c>
      <c r="CG110" s="64">
        <v>25118.8643150957</v>
      </c>
      <c r="CH110" s="64">
        <v>-8.6120834294952093</v>
      </c>
      <c r="CI110" s="64">
        <v>-155.53539664216899</v>
      </c>
      <c r="CJ110" s="64">
        <v>20892.961308540423</v>
      </c>
      <c r="CK110" s="64">
        <v>-4.7708406903548664</v>
      </c>
      <c r="CL110" s="64">
        <v>-149.72888236270262</v>
      </c>
      <c r="CN110" s="64">
        <v>25118.8643150957</v>
      </c>
      <c r="CO110" s="64">
        <v>-4.8278652146778596</v>
      </c>
      <c r="CP110" s="64">
        <v>-92.033534964387798</v>
      </c>
      <c r="CQ110" s="186">
        <v>20892.961308540423</v>
      </c>
      <c r="CR110" s="64">
        <v>-3.3010393461837548</v>
      </c>
      <c r="CS110" s="64">
        <v>-87.902568914477058</v>
      </c>
      <c r="CU110" s="64">
        <v>25118.8643150957</v>
      </c>
      <c r="CV110" s="64">
        <v>-4.82447897270767</v>
      </c>
      <c r="CW110" s="64">
        <v>-84.802489647148093</v>
      </c>
      <c r="CX110" s="139">
        <v>20892.961308540423</v>
      </c>
      <c r="CY110" s="64">
        <v>-3.3125111514556616</v>
      </c>
      <c r="CZ110" s="64">
        <v>-78.397736357510979</v>
      </c>
    </row>
    <row r="111" spans="2:104">
      <c r="B111" s="135">
        <f t="shared" si="58"/>
        <v>4.3600000000000003</v>
      </c>
      <c r="C111" s="139">
        <f t="shared" si="17"/>
        <v>22908.676527677751</v>
      </c>
      <c r="D111" s="139">
        <f t="shared" si="18"/>
        <v>143939.4597656347</v>
      </c>
      <c r="E111" s="32" t="str">
        <f t="shared" si="19"/>
        <v>143939.459765635i</v>
      </c>
      <c r="F111"/>
      <c r="G111" s="153" t="str">
        <f t="shared" si="59"/>
        <v>0.04+0.00969842187132324i</v>
      </c>
      <c r="H111" s="153" t="str">
        <f t="shared" si="60"/>
        <v>1+4.50813244961122i</v>
      </c>
      <c r="I111" t="str">
        <f t="shared" si="52"/>
        <v>0.00392631227501366-0.00800191390297269i</v>
      </c>
      <c r="J111"/>
      <c r="K111" t="str">
        <f t="shared" si="53"/>
        <v>0.04+0.00969842187132324i</v>
      </c>
      <c r="L111" t="str">
        <f t="shared" si="61"/>
        <v>5.43580907071529+24.5053472615826i</v>
      </c>
      <c r="M111" t="str">
        <f t="shared" si="54"/>
        <v>0.000722305037563986-0.00147207412896122i</v>
      </c>
      <c r="N111" s="153" t="str">
        <f t="shared" si="62"/>
        <v>0.0011+0.0316666811484397i</v>
      </c>
      <c r="O111" s="135" t="str">
        <f t="shared" si="63"/>
        <v>0.000242+0.00696666985265673i</v>
      </c>
      <c r="Q111" s="135" t="str">
        <f t="shared" si="64"/>
        <v>-0.143939459765635i</v>
      </c>
      <c r="R111" s="135" t="str">
        <f t="shared" si="65"/>
        <v>-0.00839691936399643</v>
      </c>
      <c r="S111" s="64" t="str">
        <f t="shared" si="55"/>
        <v>0.991603080636004-0.143939459765635i</v>
      </c>
      <c r="T111" s="135" t="str">
        <f t="shared" si="66"/>
        <v>0.00991603080636004-0.00143939459765635i</v>
      </c>
      <c r="U111" s="64" t="str">
        <f t="shared" si="56"/>
        <v>0.010880335843924+0.00405520112603916i</v>
      </c>
      <c r="W111" s="64" t="str">
        <f t="shared" si="57"/>
        <v>0.0761737214205647-0.763837971829982i</v>
      </c>
      <c r="X111" s="172">
        <f t="shared" si="26"/>
        <v>0.76762678629943482</v>
      </c>
      <c r="Y111" s="188">
        <f t="shared" si="27"/>
        <v>-2.2969975797458129</v>
      </c>
      <c r="Z111" s="161">
        <f t="shared" si="28"/>
        <v>-84.305009132109305</v>
      </c>
      <c r="AA111" s="161">
        <f t="shared" si="8"/>
        <v>-84.305009132109305</v>
      </c>
      <c r="AB111" s="199"/>
      <c r="AC111" s="64" t="str">
        <f t="shared" si="67"/>
        <v>-694736.524388949i</v>
      </c>
      <c r="AD111" s="64" t="str">
        <f t="shared" si="68"/>
        <v>22000-69473.6524388949i</v>
      </c>
      <c r="AE111" s="64" t="str">
        <f t="shared" si="29"/>
        <v>18166.7626095032-63680.8486526813i</v>
      </c>
      <c r="AF111" s="64" t="str">
        <f t="shared" si="69"/>
        <v>10000</v>
      </c>
      <c r="AG111" s="64" t="str">
        <f t="shared" si="70"/>
        <v>-17813.7570356141i</v>
      </c>
      <c r="AH111" s="64" t="str">
        <f t="shared" si="30"/>
        <v>7603.81438086707-4268.50684314666i</v>
      </c>
      <c r="AI111" s="64" t="str">
        <f t="shared" si="31"/>
        <v>5.39148917241911-5.34826840694418i</v>
      </c>
      <c r="AJ111" s="161">
        <f t="shared" si="32"/>
        <v>7.594216908215734</v>
      </c>
      <c r="AK111" s="161">
        <f t="shared" si="33"/>
        <v>17.609659948506032</v>
      </c>
      <c r="AL111" s="161">
        <f t="shared" si="34"/>
        <v>-44.769421789816946</v>
      </c>
      <c r="AN111" s="64" t="str">
        <f t="shared" si="35"/>
        <v>-3.67452069850077-4.52562166231689i</v>
      </c>
      <c r="AO111" s="161">
        <f t="shared" si="36"/>
        <v>5.8295243197144728</v>
      </c>
      <c r="AP111" s="161">
        <f t="shared" si="37"/>
        <v>15.312662368760217</v>
      </c>
      <c r="AQ111" s="161">
        <f t="shared" si="38"/>
        <v>-129.07443092192628</v>
      </c>
      <c r="AR111" s="64">
        <f t="shared" si="39"/>
        <v>50.925569078073721</v>
      </c>
      <c r="AT111" s="135" t="str">
        <f t="shared" si="71"/>
        <v>-217412.807313784i</v>
      </c>
      <c r="AU111" s="135" t="str">
        <f t="shared" si="72"/>
        <v>27456.1383070198-38915.2846042027i</v>
      </c>
      <c r="AV111" s="135" t="str">
        <f t="shared" si="40"/>
        <v>19528.2303858649-35098.9663296788i</v>
      </c>
      <c r="AW111" s="135" t="str">
        <f t="shared" si="73"/>
        <v>10000</v>
      </c>
      <c r="AX111" s="135" t="str">
        <f t="shared" si="74"/>
        <v>1789.92604368691-16710.5920840759i</v>
      </c>
      <c r="AY111" s="135" t="str">
        <f t="shared" si="41"/>
        <v>7181.10414255026-3995.3956137458i</v>
      </c>
      <c r="AZ111" s="135" t="str">
        <f t="shared" si="42"/>
        <v>4.15315444989616-2.57696739805014i</v>
      </c>
      <c r="BA111" s="182">
        <f t="shared" si="43"/>
        <v>4.8876837924834682</v>
      </c>
      <c r="BB111" s="182">
        <f t="shared" si="44"/>
        <v>13.782062031344438</v>
      </c>
      <c r="BC111" s="182">
        <f t="shared" si="45"/>
        <v>-31.818954720834128</v>
      </c>
      <c r="BE111" s="135" t="str">
        <f t="shared" si="46"/>
        <v>-1.65202432071564-3.3686342683943i</v>
      </c>
      <c r="BF111" s="161">
        <f t="shared" si="47"/>
        <v>3.7519170020719237</v>
      </c>
      <c r="BG111" s="161">
        <f t="shared" si="48"/>
        <v>11.485064451598639</v>
      </c>
      <c r="BH111" s="161">
        <f t="shared" si="49"/>
        <v>-116.12396385294346</v>
      </c>
      <c r="BI111" s="64">
        <f t="shared" si="50"/>
        <v>63.876036147056539</v>
      </c>
      <c r="BS111" s="64">
        <v>27542.287033381599</v>
      </c>
      <c r="BT111" s="64">
        <v>0.74438435193265096</v>
      </c>
      <c r="BU111" s="64">
        <v>-102.68834718008701</v>
      </c>
      <c r="BV111" s="186">
        <v>22908.676527677751</v>
      </c>
      <c r="BW111" s="64">
        <v>2.615147893205898</v>
      </c>
      <c r="BX111" s="64">
        <v>-96.205889406138851</v>
      </c>
      <c r="BZ111" s="64">
        <v>27542.287033381599</v>
      </c>
      <c r="CA111" s="64">
        <v>-5.3755423461032699</v>
      </c>
      <c r="CB111" s="64">
        <v>-87.939097871794402</v>
      </c>
      <c r="CC111" s="186">
        <v>22908.676527677751</v>
      </c>
      <c r="CD111" s="64">
        <v>-3.7677335604485136</v>
      </c>
      <c r="CE111" s="64">
        <v>-82.494325822995975</v>
      </c>
      <c r="CG111" s="64">
        <v>27542.287033381599</v>
      </c>
      <c r="CH111" s="64">
        <v>-10.2519418852645</v>
      </c>
      <c r="CI111" s="64">
        <v>-157.55961765230401</v>
      </c>
      <c r="CJ111" s="64">
        <v>22908.676527677751</v>
      </c>
      <c r="CK111" s="64">
        <v>-6.405532931826543</v>
      </c>
      <c r="CL111" s="64">
        <v>-152.55322488945103</v>
      </c>
      <c r="CN111" s="64">
        <v>27542.287033381599</v>
      </c>
      <c r="CO111" s="64">
        <v>-5.6789041540931597</v>
      </c>
      <c r="CP111" s="64">
        <v>-94.728018288487505</v>
      </c>
      <c r="CQ111" s="186">
        <v>22908.676527677751</v>
      </c>
      <c r="CR111" s="64">
        <v>-4.1260619545585007</v>
      </c>
      <c r="CS111" s="64">
        <v>-90.815788617089581</v>
      </c>
      <c r="CU111" s="64">
        <v>27542.287033381599</v>
      </c>
      <c r="CV111" s="64">
        <v>-5.6013965764642304</v>
      </c>
      <c r="CW111" s="64">
        <v>-87.815811860626297</v>
      </c>
      <c r="CX111" s="139">
        <v>22908.676527677751</v>
      </c>
      <c r="CY111" s="64">
        <v>-4.038439942201288</v>
      </c>
      <c r="CZ111" s="64">
        <v>-81.314363014927309</v>
      </c>
    </row>
    <row r="112" spans="2:104">
      <c r="B112" s="135">
        <f t="shared" si="58"/>
        <v>4.4000000000000004</v>
      </c>
      <c r="C112" s="139">
        <f t="shared" si="17"/>
        <v>25118.86431509586</v>
      </c>
      <c r="D112" s="139">
        <f t="shared" si="18"/>
        <v>157826.47919764792</v>
      </c>
      <c r="E112" s="32" t="str">
        <f t="shared" si="19"/>
        <v>157826.479197648i</v>
      </c>
      <c r="F112"/>
      <c r="G112" s="153" t="str">
        <f t="shared" si="59"/>
        <v>0.04+0.0105374231062689i</v>
      </c>
      <c r="H112" s="153" t="str">
        <f t="shared" si="60"/>
        <v>1+4.91364617863009i</v>
      </c>
      <c r="I112" t="str">
        <f t="shared" si="52"/>
        <v>0.00365007418385127-0.00739774995892826i</v>
      </c>
      <c r="J112"/>
      <c r="K112" t="str">
        <f t="shared" si="53"/>
        <v>0.04+0.0105374231062689i</v>
      </c>
      <c r="L112" t="str">
        <f t="shared" si="61"/>
        <v>5.43580907071529+26.7096424680829i</v>
      </c>
      <c r="M112" t="str">
        <f t="shared" si="54"/>
        <v>0.000671486826775352-0.00136092895513617i</v>
      </c>
      <c r="N112" s="153" t="str">
        <f t="shared" si="62"/>
        <v>0.0011+0.0347218254234826i</v>
      </c>
      <c r="O112" s="135" t="str">
        <f t="shared" si="63"/>
        <v>0.000242+0.00763880159316617i</v>
      </c>
      <c r="Q112" s="135" t="str">
        <f t="shared" si="64"/>
        <v>-0.157826479197648i</v>
      </c>
      <c r="R112" s="135" t="str">
        <f t="shared" si="65"/>
        <v>-0.0100953175116831</v>
      </c>
      <c r="S112" s="64" t="str">
        <f t="shared" si="55"/>
        <v>0.989904682488317-0.157826479197648i</v>
      </c>
      <c r="T112" s="135" t="str">
        <f t="shared" si="66"/>
        <v>0.00989904682488317-0.00157826479197648i</v>
      </c>
      <c r="U112" s="64" t="str">
        <f t="shared" si="56"/>
        <v>0.0108125336516585+0.00469960784605352i</v>
      </c>
      <c r="W112" s="64" t="str">
        <f t="shared" si="57"/>
        <v>0.0338138197436854-0.698879827332758i</v>
      </c>
      <c r="X112" s="172">
        <f t="shared" si="26"/>
        <v>0.6996973541884548</v>
      </c>
      <c r="Y112" s="188">
        <f t="shared" si="27"/>
        <v>-3.1017953662198643</v>
      </c>
      <c r="Z112" s="161">
        <f t="shared" si="28"/>
        <v>-87.230025166338379</v>
      </c>
      <c r="AA112" s="161">
        <f t="shared" si="8"/>
        <v>-87.230025166338379</v>
      </c>
      <c r="AB112" s="199"/>
      <c r="AC112" s="64" t="str">
        <f t="shared" si="67"/>
        <v>-633607.240739172i</v>
      </c>
      <c r="AD112" s="64" t="str">
        <f t="shared" si="68"/>
        <v>22000-63360.7240739172i</v>
      </c>
      <c r="AE112" s="64" t="str">
        <f t="shared" si="29"/>
        <v>18163.7204338073-58174.0014580553i</v>
      </c>
      <c r="AF112" s="64" t="str">
        <f t="shared" si="69"/>
        <v>10000</v>
      </c>
      <c r="AG112" s="64" t="str">
        <f t="shared" si="70"/>
        <v>-16246.3395061326i</v>
      </c>
      <c r="AH112" s="64" t="str">
        <f t="shared" si="30"/>
        <v>7252.32111604835-4463.97240025101i</v>
      </c>
      <c r="AI112" s="64" t="str">
        <f t="shared" si="31"/>
        <v>5.39711719745658-4.69938088817824i</v>
      </c>
      <c r="AJ112" s="161">
        <f t="shared" si="32"/>
        <v>7.1563297000107857</v>
      </c>
      <c r="AK112" s="161">
        <f t="shared" si="33"/>
        <v>17.093806815651057</v>
      </c>
      <c r="AL112" s="161">
        <f t="shared" si="34"/>
        <v>-41.046759321788315</v>
      </c>
      <c r="AN112" s="64" t="str">
        <f t="shared" si="35"/>
        <v>-3.10180535565053-3.93084035331289i</v>
      </c>
      <c r="AO112" s="161">
        <f t="shared" si="36"/>
        <v>5.0072649567978047</v>
      </c>
      <c r="AP112" s="161">
        <f t="shared" si="37"/>
        <v>13.992011449431189</v>
      </c>
      <c r="AQ112" s="161">
        <f t="shared" si="38"/>
        <v>-128.27678448812671</v>
      </c>
      <c r="AR112" s="64">
        <f t="shared" si="39"/>
        <v>51.723215511873292</v>
      </c>
      <c r="AT112" s="135" t="str">
        <f t="shared" si="71"/>
        <v>-198282.836884969i</v>
      </c>
      <c r="AU112" s="135" t="str">
        <f t="shared" si="72"/>
        <v>27456.1383070198-35491.1613756529i</v>
      </c>
      <c r="AV112" s="135" t="str">
        <f t="shared" si="40"/>
        <v>19483.5291791243-32391.2440652006i</v>
      </c>
      <c r="AW112" s="135" t="str">
        <f t="shared" si="73"/>
        <v>10000</v>
      </c>
      <c r="AX112" s="135" t="str">
        <f t="shared" si="74"/>
        <v>1789.92604368691-15240.2411127323i</v>
      </c>
      <c r="AY112" s="135" t="str">
        <f t="shared" si="41"/>
        <v>6824.41037072109-4104.92410605219i</v>
      </c>
      <c r="AZ112" s="135" t="str">
        <f t="shared" si="42"/>
        <v>4.19291559787147-2.22431579114605i</v>
      </c>
      <c r="BA112" s="182">
        <f t="shared" si="43"/>
        <v>4.7463798783510303</v>
      </c>
      <c r="BB112" s="182">
        <f t="shared" si="44"/>
        <v>13.527249883987082</v>
      </c>
      <c r="BC112" s="182">
        <f t="shared" si="45"/>
        <v>-27.945673975700302</v>
      </c>
      <c r="BE112" s="135" t="str">
        <f t="shared" si="46"/>
        <v>-1.41275094382277-3.00555674227609i</v>
      </c>
      <c r="BF112" s="161">
        <f t="shared" si="47"/>
        <v>3.3210294428555418</v>
      </c>
      <c r="BG112" s="161">
        <f t="shared" si="48"/>
        <v>10.425454517767232</v>
      </c>
      <c r="BH112" s="161">
        <f t="shared" si="49"/>
        <v>-115.17569914203871</v>
      </c>
      <c r="BI112" s="64">
        <f t="shared" si="50"/>
        <v>64.82430085796129</v>
      </c>
      <c r="BS112" s="64">
        <v>30199.5172040201</v>
      </c>
      <c r="BT112" s="64">
        <v>-0.33847409001786499</v>
      </c>
      <c r="BU112" s="64">
        <v>-105.966386080199</v>
      </c>
      <c r="BV112" s="186">
        <v>25118.86431509586</v>
      </c>
      <c r="BW112" s="64">
        <v>1.5716078396360347</v>
      </c>
      <c r="BX112" s="64">
        <v>-100.04729546716813</v>
      </c>
      <c r="BZ112" s="64">
        <v>30199.5172040201</v>
      </c>
      <c r="CA112" s="64">
        <v>-6.1769939289129701</v>
      </c>
      <c r="CB112" s="64">
        <v>-90.342866843249297</v>
      </c>
      <c r="CC112" s="186">
        <v>25118.86431509586</v>
      </c>
      <c r="CD112" s="64">
        <v>-4.5296736149023449</v>
      </c>
      <c r="CE112" s="64">
        <v>-84.813084196335495</v>
      </c>
      <c r="CG112" s="64">
        <v>30199.5172040201</v>
      </c>
      <c r="CH112" s="64">
        <v>-11.886096483931199</v>
      </c>
      <c r="CI112" s="64">
        <v>-159.32494519812099</v>
      </c>
      <c r="CJ112" s="64">
        <v>25118.86431509586</v>
      </c>
      <c r="CK112" s="64">
        <v>-8.039473907453921</v>
      </c>
      <c r="CL112" s="64">
        <v>-155.03727079702756</v>
      </c>
      <c r="CN112" s="64">
        <v>30199.5172040201</v>
      </c>
      <c r="CO112" s="64">
        <v>-6.5517709999136899</v>
      </c>
      <c r="CP112" s="64">
        <v>-97.391541599967496</v>
      </c>
      <c r="CQ112" s="186">
        <v>25118.86431509586</v>
      </c>
      <c r="CR112" s="64">
        <v>-4.9775708832576893</v>
      </c>
      <c r="CS112" s="64">
        <v>-93.687024533519249</v>
      </c>
      <c r="CU112" s="64">
        <v>30199.5172040201</v>
      </c>
      <c r="CV112" s="64">
        <v>-6.4036857283711797</v>
      </c>
      <c r="CW112" s="64">
        <v>-90.819346831215498</v>
      </c>
      <c r="CX112" s="139">
        <v>25118.86431509586</v>
      </c>
      <c r="CY112" s="64">
        <v>-4.7888918438943264</v>
      </c>
      <c r="CZ112" s="64">
        <v>-84.201258488170453</v>
      </c>
    </row>
    <row r="113" spans="2:104">
      <c r="B113" s="135">
        <f t="shared" si="58"/>
        <v>4.4400000000000004</v>
      </c>
      <c r="C113" s="139">
        <f t="shared" si="17"/>
        <v>27542.287033381719</v>
      </c>
      <c r="D113" s="139">
        <f t="shared" si="18"/>
        <v>173053.29321426686</v>
      </c>
      <c r="E113" s="32" t="str">
        <f t="shared" si="19"/>
        <v>173053.293214267i</v>
      </c>
      <c r="F113"/>
      <c r="G113" s="153" t="str">
        <f t="shared" si="59"/>
        <v>0.04+0.0114291887556308i</v>
      </c>
      <c r="H113" s="153" t="str">
        <f t="shared" si="60"/>
        <v>1+5.34971283504714i</v>
      </c>
      <c r="I113" t="str">
        <f t="shared" si="52"/>
        <v>0.00341474790699449-0.006838731950868i</v>
      </c>
      <c r="J113"/>
      <c r="K113" t="str">
        <f t="shared" si="53"/>
        <v>0.04+0.0114291887556308i</v>
      </c>
      <c r="L113" t="str">
        <f t="shared" si="61"/>
        <v>5.43580907071529+29.0800175544712i</v>
      </c>
      <c r="M113" t="str">
        <f t="shared" si="54"/>
        <v>0.00062819496832422-0.0012580890649215i</v>
      </c>
      <c r="N113" s="153" t="str">
        <f t="shared" si="62"/>
        <v>0.0011+0.0380717245071387i</v>
      </c>
      <c r="O113" s="135" t="str">
        <f t="shared" si="63"/>
        <v>0.000242+0.00837577939157051i</v>
      </c>
      <c r="Q113" s="135" t="str">
        <f t="shared" si="64"/>
        <v>-0.173053293214267i</v>
      </c>
      <c r="R113" s="135" t="str">
        <f t="shared" si="65"/>
        <v>-0.012137241200467</v>
      </c>
      <c r="S113" s="64" t="str">
        <f t="shared" si="55"/>
        <v>0.987862758799533-0.173053293214267i</v>
      </c>
      <c r="T113" s="135" t="str">
        <f t="shared" si="66"/>
        <v>0.00987862758799533-0.00173053293214267i</v>
      </c>
      <c r="U113" s="64" t="str">
        <f t="shared" si="56"/>
        <v>0.0107488225563195+0.00538715739450634i</v>
      </c>
      <c r="W113" s="64" t="str">
        <f t="shared" si="57"/>
        <v>-0.000946370696176729-0.635756490273112i</v>
      </c>
      <c r="X113" s="172">
        <f t="shared" si="26"/>
        <v>0.63575719464421321</v>
      </c>
      <c r="Y113" s="188">
        <f t="shared" si="27"/>
        <v>-3.9341743272809797</v>
      </c>
      <c r="Z113" s="161">
        <f t="shared" si="28"/>
        <v>-90.085288955009247</v>
      </c>
      <c r="AA113" s="161">
        <f t="shared" si="8"/>
        <v>-90.085288955009247</v>
      </c>
      <c r="AB113" s="199"/>
      <c r="AC113" s="64" t="str">
        <f t="shared" si="67"/>
        <v>-577856.671448514i</v>
      </c>
      <c r="AD113" s="64" t="str">
        <f t="shared" si="68"/>
        <v>22000-57785.6671448514i</v>
      </c>
      <c r="AE113" s="64" t="str">
        <f t="shared" si="29"/>
        <v>18160.0642827329-53160.9564629596i</v>
      </c>
      <c r="AF113" s="64" t="str">
        <f t="shared" si="69"/>
        <v>10000</v>
      </c>
      <c r="AG113" s="64" t="str">
        <f t="shared" si="70"/>
        <v>-14816.8377294491i</v>
      </c>
      <c r="AH113" s="64" t="str">
        <f t="shared" si="30"/>
        <v>6870.48842081165-4636.94652412658i</v>
      </c>
      <c r="AI113" s="64" t="str">
        <f t="shared" si="31"/>
        <v>5.4038810769441-4.09045866394317i</v>
      </c>
      <c r="AJ113" s="161">
        <f t="shared" si="32"/>
        <v>6.7774466265092981</v>
      </c>
      <c r="AK113" s="161">
        <f t="shared" si="33"/>
        <v>16.621322122531058</v>
      </c>
      <c r="AL113" s="161">
        <f t="shared" si="34"/>
        <v>-37.1238387955338</v>
      </c>
      <c r="AN113" s="64" t="str">
        <f t="shared" si="35"/>
        <v>-2.6056497184926-3.43168137711779i</v>
      </c>
      <c r="AO113" s="161">
        <f t="shared" si="36"/>
        <v>4.3088104541204428</v>
      </c>
      <c r="AP113" s="161">
        <f t="shared" si="37"/>
        <v>12.687147795250088</v>
      </c>
      <c r="AQ113" s="161">
        <f t="shared" si="38"/>
        <v>-127.20912775054309</v>
      </c>
      <c r="AR113" s="64">
        <f t="shared" si="39"/>
        <v>52.79087224945691</v>
      </c>
      <c r="AT113" s="135" t="str">
        <f t="shared" si="71"/>
        <v>-180836.096497332i</v>
      </c>
      <c r="AU113" s="135" t="str">
        <f t="shared" si="72"/>
        <v>27456.1383070198-32368.3238759253i</v>
      </c>
      <c r="AV113" s="135" t="str">
        <f t="shared" si="40"/>
        <v>19430.0566870266-29956.3942080306i</v>
      </c>
      <c r="AW113" s="135" t="str">
        <f t="shared" si="73"/>
        <v>10000</v>
      </c>
      <c r="AX113" s="135" t="str">
        <f t="shared" si="74"/>
        <v>1789.92604368691-13899.2650892094i</v>
      </c>
      <c r="AY113" s="135" t="str">
        <f t="shared" si="41"/>
        <v>6450.86917649228-4184.10683573647i</v>
      </c>
      <c r="AZ113" s="135" t="str">
        <f t="shared" si="42"/>
        <v>4.24018172767915-1.89354651633556i</v>
      </c>
      <c r="BA113" s="182">
        <f t="shared" si="43"/>
        <v>4.6437764258489747</v>
      </c>
      <c r="BB113" s="182">
        <f t="shared" si="44"/>
        <v>13.337426050110173</v>
      </c>
      <c r="BC113" s="182">
        <f t="shared" si="45"/>
        <v>-24.064202221887005</v>
      </c>
      <c r="BE113" s="135" t="str">
        <f t="shared" si="46"/>
        <v>-1.20784727112791-2.69393105637457i</v>
      </c>
      <c r="BF113" s="161">
        <f t="shared" si="47"/>
        <v>2.952314273052675</v>
      </c>
      <c r="BG113" s="161">
        <f t="shared" si="48"/>
        <v>9.4032517228291912</v>
      </c>
      <c r="BH113" s="161">
        <f t="shared" si="49"/>
        <v>-114.14949117689618</v>
      </c>
      <c r="BI113" s="64">
        <f t="shared" si="50"/>
        <v>65.850508823103823</v>
      </c>
      <c r="BS113" s="64">
        <v>33113.112148259097</v>
      </c>
      <c r="BT113" s="64">
        <v>-1.4420759681155999</v>
      </c>
      <c r="BU113" s="64">
        <v>-108.994593957135</v>
      </c>
      <c r="BV113" s="186">
        <v>27542.287033381719</v>
      </c>
      <c r="BW113" s="64">
        <v>0.49163955612680499</v>
      </c>
      <c r="BX113" s="64">
        <v>-103.57125566381679</v>
      </c>
      <c r="BZ113" s="64">
        <v>33113.112148259097</v>
      </c>
      <c r="CA113" s="64">
        <v>-6.9949795475091197</v>
      </c>
      <c r="CB113" s="64">
        <v>-92.743215917647703</v>
      </c>
      <c r="CC113" s="186">
        <v>27542.287033381719</v>
      </c>
      <c r="CD113" s="64">
        <v>-5.3065673687919048</v>
      </c>
      <c r="CE113" s="64">
        <v>-87.108216255967406</v>
      </c>
      <c r="CG113" s="64">
        <v>33113.112148259097</v>
      </c>
      <c r="CH113" s="64">
        <v>-13.514660907998501</v>
      </c>
      <c r="CI113" s="64">
        <v>-160.86205976785499</v>
      </c>
      <c r="CJ113" s="64">
        <v>27542.287033381719</v>
      </c>
      <c r="CK113" s="64">
        <v>-9.6713748969370599</v>
      </c>
      <c r="CL113" s="64">
        <v>-157.22634294635623</v>
      </c>
      <c r="CN113" s="64">
        <v>33113.112148259097</v>
      </c>
      <c r="CO113" s="64">
        <v>-7.4459790546525504</v>
      </c>
      <c r="CP113" s="64">
        <v>-100.026877590685</v>
      </c>
      <c r="CQ113" s="186">
        <v>27542.287033381719</v>
      </c>
      <c r="CR113" s="64">
        <v>-5.8550640112055552</v>
      </c>
      <c r="CS113" s="64">
        <v>-96.517238797311009</v>
      </c>
      <c r="CU113" s="64">
        <v>33113.112148259097</v>
      </c>
      <c r="CV113" s="64">
        <v>-7.2314347718220597</v>
      </c>
      <c r="CW113" s="64">
        <v>-93.820811690441005</v>
      </c>
      <c r="CX113" s="139">
        <v>27542.287033381719</v>
      </c>
      <c r="CY113" s="64">
        <v>-5.5630353441542102</v>
      </c>
      <c r="CZ113" s="64">
        <v>-87.065770410677302</v>
      </c>
    </row>
    <row r="114" spans="2:104">
      <c r="B114" s="135">
        <f t="shared" si="58"/>
        <v>4.4800000000000004</v>
      </c>
      <c r="C114" s="139">
        <f t="shared" si="17"/>
        <v>30199.517204020212</v>
      </c>
      <c r="D114" s="139">
        <f t="shared" si="18"/>
        <v>189749.16278021692</v>
      </c>
      <c r="E114" s="32" t="str">
        <f t="shared" si="19"/>
        <v>189749.162780217i</v>
      </c>
      <c r="F114"/>
      <c r="G114" s="153" t="str">
        <f t="shared" ref="G114:G145" si="75">IMPRODUCT(Ro_p,IMSUM(1,IMPRODUCT(AF264*AC264,E114)))</f>
        <v>0.04+0.0123712191953385i</v>
      </c>
      <c r="H114" s="153" t="str">
        <f t="shared" ref="H114:H145" si="76">IMSUM(1,IMPRODUCT((Ro_p+AC264)*AF264,E114))</f>
        <v>1+5.81697503495805i</v>
      </c>
      <c r="I114" t="str">
        <f t="shared" si="52"/>
        <v>0.0032138942810525-0.00632392360253834i</v>
      </c>
      <c r="J114"/>
      <c r="K114" t="str">
        <f t="shared" si="53"/>
        <v>0.04+0.0123712191953385i</v>
      </c>
      <c r="L114" t="str">
        <f t="shared" ref="L114:L145" si="77">IMPRODUCT(Km,H114)</f>
        <v>5.43580907071529+31.6199656591493i</v>
      </c>
      <c r="M114" t="str">
        <f t="shared" si="54"/>
        <v>0.000591244879877577-0.00116338221601779i</v>
      </c>
      <c r="N114" s="153" t="str">
        <f t="shared" ref="N114:N145" si="78">IMSUM((Rs_p+DCRp),IMPRODUCT(Lp,E114))</f>
        <v>0.0011+0.0417448158116477i</v>
      </c>
      <c r="O114" s="135" t="str">
        <f t="shared" ref="O114:O145" si="79">IMPRODUCT((1/Np/Kmp),N114)</f>
        <v>0.000242+0.00918385947856249i</v>
      </c>
      <c r="Q114" s="135" t="str">
        <f t="shared" ref="Q114:Q145" si="80">IMDIV(E114,(Wn*Qz))</f>
        <v>-0.189749162780217i</v>
      </c>
      <c r="R114" s="135" t="str">
        <f t="shared" ref="R114:R145" si="81">IMDIV(IMPRODUCT(E114,E114),IMPRODUCT(Wn,Wn))</f>
        <v>-0.0145921734296946</v>
      </c>
      <c r="S114" s="64" t="str">
        <f t="shared" si="55"/>
        <v>0.985407826570305-0.189749162780217i</v>
      </c>
      <c r="T114" s="135" t="str">
        <f t="shared" ref="T114:T145" si="82">IMPRODUCT(Ri/Np,S114)</f>
        <v>0.00985407826570305-0.00189749162780217i</v>
      </c>
      <c r="U114" s="64" t="str">
        <f t="shared" si="56"/>
        <v>0.0106873231455806+0.00612298563474253i</v>
      </c>
      <c r="W114" s="64" t="str">
        <f t="shared" si="57"/>
        <v>-0.0288271805598636-0.575206261319256i</v>
      </c>
      <c r="X114" s="172">
        <f t="shared" si="26"/>
        <v>0.57592816340226605</v>
      </c>
      <c r="Y114" s="188">
        <f t="shared" si="27"/>
        <v>-4.792633671244821</v>
      </c>
      <c r="Z114" s="161">
        <f t="shared" si="28"/>
        <v>-92.869049188619826</v>
      </c>
      <c r="AA114" s="161">
        <f t="shared" ref="AA114:AA125" si="83">IF(Z114&lt;0,Z114,-1*Z114)</f>
        <v>-92.869049188619826</v>
      </c>
      <c r="AB114" s="199"/>
      <c r="AC114" s="64" t="str">
        <f t="shared" ref="AC114:AC145" si="84">COMPLEX(0,-1/D114/_C1u)</f>
        <v>-527011.547955172i</v>
      </c>
      <c r="AD114" s="64" t="str">
        <f t="shared" ref="AD114:AD145" si="85">COMPLEX(_R2u, -1/D114/_C2u)</f>
        <v>22000-52701.1547955172i</v>
      </c>
      <c r="AE114" s="64" t="str">
        <f t="shared" si="29"/>
        <v>18155.6705704134-48599.1453812874i</v>
      </c>
      <c r="AF114" s="64" t="str">
        <f t="shared" ref="AF114:AF145" si="86">COMPLEX(_R1u,0)</f>
        <v>10000</v>
      </c>
      <c r="AG114" s="64" t="str">
        <f t="shared" ref="AG114:AG145" si="87">COMPLEX(_R3u,-1/D114/_C3u)</f>
        <v>-13513.1166142352i</v>
      </c>
      <c r="AH114" s="64" t="str">
        <f t="shared" si="30"/>
        <v>6461.48368230528-4781.63836423829i</v>
      </c>
      <c r="AI114" s="64" t="str">
        <f t="shared" si="31"/>
        <v>5.41200944473533-3.51635545485349i</v>
      </c>
      <c r="AJ114" s="161">
        <f t="shared" si="32"/>
        <v>6.454037644357391</v>
      </c>
      <c r="AK114" s="161">
        <f t="shared" si="33"/>
        <v>16.196629883548649</v>
      </c>
      <c r="AL114" s="161">
        <f t="shared" si="34"/>
        <v>-33.013069690842009</v>
      </c>
      <c r="AN114" s="64" t="str">
        <f t="shared" si="35"/>
        <v>-2.17864264811092-3.01165510532099i</v>
      </c>
      <c r="AO114" s="161">
        <f t="shared" si="36"/>
        <v>3.7170620470438407</v>
      </c>
      <c r="AP114" s="161">
        <f t="shared" si="37"/>
        <v>11.403996212303829</v>
      </c>
      <c r="AQ114" s="161">
        <f t="shared" si="38"/>
        <v>-125.88211887946183</v>
      </c>
      <c r="AR114" s="64">
        <f t="shared" si="39"/>
        <v>54.117881120538172</v>
      </c>
      <c r="AT114" s="135" t="str">
        <f t="shared" ref="AT114:AT145" si="88">COMPLEX(0,-1/D114/_C1c)</f>
        <v>-164924.480152378i</v>
      </c>
      <c r="AU114" s="135" t="str">
        <f t="shared" ref="AU114:AU145" si="89">COMPLEX(_R2c, -1/D114/_C2c)</f>
        <v>27456.1383070198-29520.2622266266i</v>
      </c>
      <c r="AV114" s="135" t="str">
        <f t="shared" si="40"/>
        <v>19366.1558977672-27773.1024784745i</v>
      </c>
      <c r="AW114" s="135" t="str">
        <f t="shared" ref="AW114:AW145" si="90">COMPLEX(_R1c,0)</f>
        <v>10000</v>
      </c>
      <c r="AX114" s="135" t="str">
        <f t="shared" ref="AX114:AX145" si="91">COMPLEX(_R3c,-1/D114/_C3c)</f>
        <v>1789.92604368691-12676.2804204402i</v>
      </c>
      <c r="AY114" s="135" t="str">
        <f t="shared" si="41"/>
        <v>6065.96527133483-4229.79136760685i</v>
      </c>
      <c r="AZ114" s="135" t="str">
        <f t="shared" si="42"/>
        <v>4.29624149871263-1.58274847359171i</v>
      </c>
      <c r="BA114" s="182">
        <f t="shared" si="43"/>
        <v>4.5785132680726637</v>
      </c>
      <c r="BB114" s="182">
        <f t="shared" si="44"/>
        <v>13.214489541330305</v>
      </c>
      <c r="BC114" s="182">
        <f t="shared" si="45"/>
        <v>-20.223951247529595</v>
      </c>
      <c r="BE114" s="135" t="str">
        <f t="shared" si="46"/>
        <v>-1.03425536151561-2.42559883417005i</v>
      </c>
      <c r="BF114" s="161">
        <f t="shared" si="47"/>
        <v>2.636894737593992</v>
      </c>
      <c r="BG114" s="161">
        <f t="shared" si="48"/>
        <v>8.4218558700854711</v>
      </c>
      <c r="BH114" s="161">
        <f t="shared" si="49"/>
        <v>-113.09300043614934</v>
      </c>
      <c r="BI114" s="64">
        <f t="shared" si="50"/>
        <v>66.906999563850661</v>
      </c>
      <c r="BS114" s="64">
        <v>36307.805477010101</v>
      </c>
      <c r="BT114" s="64">
        <v>-2.5606500699814498</v>
      </c>
      <c r="BU114" s="64">
        <v>-111.80609074773901</v>
      </c>
      <c r="BV114" s="186">
        <v>30199.517204020212</v>
      </c>
      <c r="BW114" s="64">
        <v>-0.61507570977126269</v>
      </c>
      <c r="BX114" s="64">
        <v>-106.79396203567028</v>
      </c>
      <c r="BZ114" s="64">
        <v>36307.805477010101</v>
      </c>
      <c r="CA114" s="64">
        <v>-7.8298304796345803</v>
      </c>
      <c r="CB114" s="64">
        <v>-95.150759603040001</v>
      </c>
      <c r="CC114" s="186">
        <v>30199.517204020212</v>
      </c>
      <c r="CD114" s="64">
        <v>-6.0980388132051591</v>
      </c>
      <c r="CE114" s="64">
        <v>-89.39188321131256</v>
      </c>
      <c r="CG114" s="64">
        <v>36307.805477010101</v>
      </c>
      <c r="CH114" s="64">
        <v>-15.137883902610699</v>
      </c>
      <c r="CI114" s="64">
        <v>-162.195792207332</v>
      </c>
      <c r="CJ114" s="64">
        <v>30199.517204020212</v>
      </c>
      <c r="CK114" s="64">
        <v>-11.300672184462799</v>
      </c>
      <c r="CL114" s="64">
        <v>-159.15814385700222</v>
      </c>
      <c r="CN114" s="64">
        <v>36307.805477010101</v>
      </c>
      <c r="CO114" s="64">
        <v>-8.3610222339412896</v>
      </c>
      <c r="CP114" s="64">
        <v>-102.63659345525301</v>
      </c>
      <c r="CQ114" s="186">
        <v>30199.517204020212</v>
      </c>
      <c r="CR114" s="64">
        <v>-6.7581006196733773</v>
      </c>
      <c r="CS114" s="64">
        <v>-99.307003612936398</v>
      </c>
      <c r="CU114" s="64">
        <v>36307.805477010101</v>
      </c>
      <c r="CV114" s="64">
        <v>-8.0851580777671206</v>
      </c>
      <c r="CW114" s="64">
        <v>-96.827486371337301</v>
      </c>
      <c r="CX114" s="139">
        <v>30199.517204020212</v>
      </c>
      <c r="CY114" s="64">
        <v>-6.3604374778012431</v>
      </c>
      <c r="CZ114" s="64">
        <v>-89.916214023113142</v>
      </c>
    </row>
    <row r="115" spans="2:104">
      <c r="B115" s="135">
        <f t="shared" si="58"/>
        <v>4.5200000000000005</v>
      </c>
      <c r="C115" s="139">
        <f t="shared" ref="C115:C177" si="92">10^B115</f>
        <v>33113.112148259148</v>
      </c>
      <c r="D115" s="139">
        <f t="shared" ref="D115:D178" si="93">2*PI()*C115</f>
        <v>208055.81972493173</v>
      </c>
      <c r="E115" s="32" t="str">
        <f t="shared" ref="E115:E178" si="94">COMPLEX(0,D115)</f>
        <v>208055.819724932i</v>
      </c>
      <c r="F115"/>
      <c r="G115" s="153" t="str">
        <f t="shared" si="75"/>
        <v>0.04+0.0133590534808745i</v>
      </c>
      <c r="H115" s="153" t="str">
        <f t="shared" si="76"/>
        <v>1+6.3156169371555i</v>
      </c>
      <c r="I115" t="str">
        <f t="shared" si="52"/>
        <v>0.00304181309008449-0.00585187279052443i</v>
      </c>
      <c r="J115"/>
      <c r="K115" t="str">
        <f t="shared" si="53"/>
        <v>0.04+0.0133590534808745i</v>
      </c>
      <c r="L115" t="str">
        <f t="shared" si="77"/>
        <v>5.43580907071529+34.330487834153i</v>
      </c>
      <c r="M115" t="str">
        <f t="shared" si="54"/>
        <v>0.000559587919758231-0.00107654126817121i</v>
      </c>
      <c r="N115" s="153" t="str">
        <f t="shared" si="78"/>
        <v>0.0011+0.045772280339485i</v>
      </c>
      <c r="O115" s="135" t="str">
        <f t="shared" si="79"/>
        <v>0.000242+0.0100699016746867i</v>
      </c>
      <c r="Q115" s="135" t="str">
        <f t="shared" si="80"/>
        <v>-0.208055819724932i</v>
      </c>
      <c r="R115" s="135" t="str">
        <f t="shared" si="81"/>
        <v>-0.017543651138291</v>
      </c>
      <c r="S115" s="64" t="str">
        <f t="shared" si="55"/>
        <v>0.982456348861709-0.208055819724932i</v>
      </c>
      <c r="T115" s="135" t="str">
        <f t="shared" si="82"/>
        <v>0.00982456348861709-0.00208055819724932i</v>
      </c>
      <c r="U115" s="64" t="str">
        <f t="shared" si="56"/>
        <v>0.0106261514083753+0.00691280220926617i</v>
      </c>
      <c r="W115" s="64" t="str">
        <f t="shared" si="57"/>
        <v>-0.0505910090666548-0.517793031533767i</v>
      </c>
      <c r="X115" s="172">
        <f t="shared" ref="X115:X177" si="95">IMABS(W115)</f>
        <v>0.5202586603828051</v>
      </c>
      <c r="Y115" s="188">
        <f t="shared" ref="Y115:Y177" si="96">20*LOG10(X115)</f>
        <v>-5.6756136331807756</v>
      </c>
      <c r="Z115" s="161">
        <f t="shared" ref="Z115:Z177" si="97">180*IMARGUMENT(W115)/PI()</f>
        <v>-95.580376361968106</v>
      </c>
      <c r="AA115" s="161">
        <f t="shared" si="83"/>
        <v>-95.580376361968106</v>
      </c>
      <c r="AB115" s="199"/>
      <c r="AC115" s="64" t="str">
        <f t="shared" si="84"/>
        <v>-480640.244200854i</v>
      </c>
      <c r="AD115" s="64" t="str">
        <f t="shared" si="85"/>
        <v>22000-48064.0244200854i</v>
      </c>
      <c r="AE115" s="64" t="str">
        <f t="shared" ref="AE115:AE177" si="98">IMDIV(IMPRODUCT(AC115,AD115),IMSUM(AC115,AD115))</f>
        <v>18150.3909801283-44449.8265493629i</v>
      </c>
      <c r="AF115" s="64" t="str">
        <f t="shared" si="86"/>
        <v>10000</v>
      </c>
      <c r="AG115" s="64" t="str">
        <f t="shared" si="87"/>
        <v>-12324.1088256629i</v>
      </c>
      <c r="AH115" s="64" t="str">
        <f t="shared" ref="AH115:AH177" si="99">IMDIV(IMPRODUCT(AF115,AG115),IMSUM(AF115,AG115))</f>
        <v>6029.91314893782-4892.77823998237i</v>
      </c>
      <c r="AI115" s="64" t="str">
        <f t="shared" ref="AI115:AI177" si="100">IMDIV(AE115,AH115)</f>
        <v>5.42177668676274-2.97222781019384i</v>
      </c>
      <c r="AJ115" s="161">
        <f t="shared" ref="AJ115:AJ177" si="101">IMABS(AI115)</f>
        <v>6.1830251978148709</v>
      </c>
      <c r="AK115" s="161">
        <f t="shared" ref="AK115:AK177" si="102">20*LOG10(AJ115)</f>
        <v>15.824020327841506</v>
      </c>
      <c r="AL115" s="161">
        <f t="shared" ref="AL115:AL177" si="103">180*IMARGUMENT(AI115)/PI()</f>
        <v>-28.731633096790215</v>
      </c>
      <c r="AN115" s="64" t="str">
        <f t="shared" ref="AN115:AN177" si="104">IMPRODUCT(AI115,W115)</f>
        <v>-1.81329200176663-2.6569901828443i</v>
      </c>
      <c r="AO115" s="161">
        <f t="shared" ref="AO115:AO177" si="105">IMABS(AN115)</f>
        <v>3.2167724065282925</v>
      </c>
      <c r="AP115" s="161">
        <f t="shared" ref="AP115:AP177" si="106">20*LOG10(AO115)</f>
        <v>10.148406694660729</v>
      </c>
      <c r="AQ115" s="161">
        <f t="shared" ref="AQ115:AQ177" si="107">180*IMARGUMENT(AN115)/PI()</f>
        <v>-124.31200945875833</v>
      </c>
      <c r="AR115" s="64">
        <f t="shared" ref="AR115:AR177" si="108">IF(AQ115&gt;0,AQ115-180,AQ115+180)</f>
        <v>55.687990541241675</v>
      </c>
      <c r="AT115" s="135" t="str">
        <f t="shared" si="88"/>
        <v>-150412.913574107i</v>
      </c>
      <c r="AU115" s="135" t="str">
        <f t="shared" si="89"/>
        <v>27456.1383070198-26922.7991313123i</v>
      </c>
      <c r="AV115" s="135" t="str">
        <f t="shared" ref="AV115:AV177" si="109">IMDIV(IMPRODUCT(AT115,AU115),IMSUM(AT115,AU115))</f>
        <v>19289.8844866213-25821.997867451i</v>
      </c>
      <c r="AW115" s="135" t="str">
        <f t="shared" si="90"/>
        <v>10000</v>
      </c>
      <c r="AX115" s="135" t="str">
        <f t="shared" si="91"/>
        <v>1789.92604368691-11560.9051461565i</v>
      </c>
      <c r="AY115" s="135" t="str">
        <f t="shared" ref="AY115:AY177" si="110">IMDIV(IMPRODUCT(AW115,AX115),IMSUM(AW115,AX115))</f>
        <v>5675.91110320027-4240.09288898112i</v>
      </c>
      <c r="AZ115" s="135" t="str">
        <f t="shared" ref="AZ115:AZ177" si="111">IMDIV(AV115,AY115)</f>
        <v>4.36254915517232-1.29043321567255i</v>
      </c>
      <c r="BA115" s="182">
        <f t="shared" ref="BA115:BA177" si="112">IMABS(AZ115)</f>
        <v>4.5494013908871258</v>
      </c>
      <c r="BB115" s="182">
        <f t="shared" ref="BB115:BB177" si="113">20*LOG10(BA115)</f>
        <v>13.159085121109914</v>
      </c>
      <c r="BC115" s="182">
        <f t="shared" ref="BC115:BC177" si="114">180*IMARGUMENT(AZ115)/PI()</f>
        <v>-16.478110530063237</v>
      </c>
      <c r="BE115" s="135" t="str">
        <f t="shared" ref="BE115:BE177" si="115">IMPRODUCT(AZ115,W115)</f>
        <v>-0.888883090598007-2.19361323375775i</v>
      </c>
      <c r="BF115" s="161">
        <f t="shared" ref="BF115:BF177" si="116">IMABS(BE115)</f>
        <v>2.3668654731666097</v>
      </c>
      <c r="BG115" s="161">
        <f t="shared" ref="BG115:BG177" si="117">20*LOG10(BF115)</f>
        <v>7.4834714879291511</v>
      </c>
      <c r="BH115" s="161">
        <f t="shared" ref="BH115:BH177" si="118">180*IMARGUMENT(BE115)/PI()</f>
        <v>-112.0584868920313</v>
      </c>
      <c r="BI115" s="64">
        <f t="shared" ref="BI115:BI177" si="119">IF(BH115&gt;0,BH115-180,BH115+180)</f>
        <v>67.941513107968703</v>
      </c>
      <c r="BS115" s="64">
        <v>39810.717055349698</v>
      </c>
      <c r="BT115" s="64">
        <v>-3.6902827389939401</v>
      </c>
      <c r="BU115" s="64">
        <v>-114.438823407181</v>
      </c>
      <c r="BV115" s="186">
        <v>33113.112148259148</v>
      </c>
      <c r="BW115" s="64">
        <v>-1.7405539005065251</v>
      </c>
      <c r="BX115" s="64">
        <v>-109.7443357064199</v>
      </c>
      <c r="BZ115" s="64">
        <v>39810.717055349698</v>
      </c>
      <c r="CA115" s="64">
        <v>-8.6822307284123106</v>
      </c>
      <c r="CB115" s="64">
        <v>-97.575535736111703</v>
      </c>
      <c r="CC115" s="186">
        <v>33113.112148259148</v>
      </c>
      <c r="CD115" s="64">
        <v>-6.9041063519168544</v>
      </c>
      <c r="CE115" s="64">
        <v>-91.67656585802149</v>
      </c>
      <c r="CG115" s="64">
        <v>39810.717055349698</v>
      </c>
      <c r="CH115" s="64">
        <v>-16.756037962278</v>
      </c>
      <c r="CI115" s="64">
        <v>-163.34615337047501</v>
      </c>
      <c r="CJ115" s="64">
        <v>33113.112148259148</v>
      </c>
      <c r="CK115" s="64">
        <v>-12.927248750382613</v>
      </c>
      <c r="CL115" s="64">
        <v>-160.86396047409482</v>
      </c>
      <c r="CN115" s="64">
        <v>39810.717055349698</v>
      </c>
      <c r="CO115" s="64">
        <v>-9.2963377737262203</v>
      </c>
      <c r="CP115" s="64">
        <v>-105.223332796977</v>
      </c>
      <c r="CQ115" s="186">
        <v>33113.112148259148</v>
      </c>
      <c r="CR115" s="64">
        <v>-7.686247934435972</v>
      </c>
      <c r="CS115" s="64">
        <v>-102.05658276625033</v>
      </c>
      <c r="CU115" s="64">
        <v>39810.717055349698</v>
      </c>
      <c r="CV115" s="64">
        <v>-8.9657778349201696</v>
      </c>
      <c r="CW115" s="64">
        <v>-99.845542020883897</v>
      </c>
      <c r="CX115" s="139">
        <v>33113.112148259148</v>
      </c>
      <c r="CY115" s="64">
        <v>-7.1810853961252752</v>
      </c>
      <c r="CZ115" s="64">
        <v>-92.761261811361877</v>
      </c>
    </row>
    <row r="116" spans="2:104">
      <c r="B116" s="135">
        <f t="shared" si="58"/>
        <v>4.5600000000000005</v>
      </c>
      <c r="C116" s="139">
        <f t="shared" si="92"/>
        <v>36307.805477010232</v>
      </c>
      <c r="D116" s="139">
        <f t="shared" si="93"/>
        <v>228128.66990908521</v>
      </c>
      <c r="E116" s="32" t="str">
        <f t="shared" si="94"/>
        <v>228128.669909085i</v>
      </c>
      <c r="F116"/>
      <c r="G116" s="153" t="str">
        <f t="shared" si="75"/>
        <v>0.04+0.0143858533956372i</v>
      </c>
      <c r="H116" s="153" t="str">
        <f t="shared" si="76"/>
        <v>1+6.84525267069892i</v>
      </c>
      <c r="I116" t="str">
        <f t="shared" si="52"/>
        <v>0.00289348267896881-0.00542076664019511i</v>
      </c>
      <c r="J116"/>
      <c r="K116" t="str">
        <f t="shared" si="53"/>
        <v>0.04+0.0143858533956372i</v>
      </c>
      <c r="L116" t="str">
        <f t="shared" si="77"/>
        <v>5.43580907071529+37.2094865587232i</v>
      </c>
      <c r="M116" t="str">
        <f t="shared" si="54"/>
        <v>0.000532300277902893-0.000997232715438588i</v>
      </c>
      <c r="N116" s="153" t="str">
        <f t="shared" si="78"/>
        <v>0.0011+0.0501883073799987i</v>
      </c>
      <c r="O116" s="135" t="str">
        <f t="shared" si="79"/>
        <v>0.000242+0.0110414276235997i</v>
      </c>
      <c r="Q116" s="135" t="str">
        <f t="shared" si="80"/>
        <v>-0.228128669909085i</v>
      </c>
      <c r="R116" s="135" t="str">
        <f t="shared" si="81"/>
        <v>-0.0210921078169026</v>
      </c>
      <c r="S116" s="64" t="str">
        <f t="shared" si="55"/>
        <v>0.978907892183097-0.228128669909085i</v>
      </c>
      <c r="T116" s="135" t="str">
        <f t="shared" si="82"/>
        <v>0.00978907892183097-0.00228128669909085i</v>
      </c>
      <c r="U116" s="64" t="str">
        <f t="shared" si="56"/>
        <v>0.0105633791997339+0.00776290820907026i</v>
      </c>
      <c r="W116" s="64" t="str">
        <f t="shared" si="57"/>
        <v>-0.0670125785673345-0.463919173141795i</v>
      </c>
      <c r="X116" s="172">
        <f t="shared" si="95"/>
        <v>0.46873413028582622</v>
      </c>
      <c r="Y116" s="188">
        <f t="shared" si="96"/>
        <v>-6.581468454445691</v>
      </c>
      <c r="Z116" s="161">
        <f t="shared" si="97"/>
        <v>-98.219454999041773</v>
      </c>
      <c r="AA116" s="161">
        <f t="shared" si="83"/>
        <v>-98.219454999041773</v>
      </c>
      <c r="AB116" s="199"/>
      <c r="AC116" s="64" t="str">
        <f t="shared" si="84"/>
        <v>-438349.112541849i</v>
      </c>
      <c r="AD116" s="64" t="str">
        <f t="shared" si="85"/>
        <v>22000-43834.9112541849i</v>
      </c>
      <c r="AE116" s="64" t="str">
        <f t="shared" si="98"/>
        <v>18144.047580051-40677.7548102272i</v>
      </c>
      <c r="AF116" s="64" t="str">
        <f t="shared" si="86"/>
        <v>10000</v>
      </c>
      <c r="AG116" s="64" t="str">
        <f t="shared" si="87"/>
        <v>-11239.7208344064i</v>
      </c>
      <c r="AH116" s="64" t="str">
        <f t="shared" si="99"/>
        <v>5581.69863365303-4966.04739200163i</v>
      </c>
      <c r="AI116" s="64" t="str">
        <f t="shared" si="100"/>
        <v>5.43351197690566-2.45349627895309i</v>
      </c>
      <c r="AJ116" s="161">
        <f t="shared" si="101"/>
        <v>5.9617695690133736</v>
      </c>
      <c r="AK116" s="161">
        <f t="shared" si="102"/>
        <v>15.507503718266536</v>
      </c>
      <c r="AL116" s="161">
        <f t="shared" si="103"/>
        <v>-24.301502623088052</v>
      </c>
      <c r="AN116" s="64" t="str">
        <f t="shared" si="104"/>
        <v>-1.50233761328733-2.35629527142411i</v>
      </c>
      <c r="AO116" s="161">
        <f t="shared" si="105"/>
        <v>2.7944848738959909</v>
      </c>
      <c r="AP116" s="161">
        <f t="shared" si="106"/>
        <v>8.926035263820852</v>
      </c>
      <c r="AQ116" s="161">
        <f t="shared" si="107"/>
        <v>-122.52095762212976</v>
      </c>
      <c r="AR116" s="64">
        <f t="shared" si="108"/>
        <v>57.479042377870243</v>
      </c>
      <c r="AT116" s="135" t="str">
        <f t="shared" si="88"/>
        <v>-137178.207558689i</v>
      </c>
      <c r="AU116" s="135" t="str">
        <f t="shared" si="89"/>
        <v>27456.1383070198-24553.8846335586i</v>
      </c>
      <c r="AV116" s="135" t="str">
        <f t="shared" si="109"/>
        <v>19198.9776675798-24085.4342266128i</v>
      </c>
      <c r="AW116" s="135" t="str">
        <f t="shared" si="90"/>
        <v>10000</v>
      </c>
      <c r="AX116" s="135" t="str">
        <f t="shared" si="91"/>
        <v>1789.92604368691-10543.6708060602i</v>
      </c>
      <c r="AY116" s="135" t="str">
        <f t="shared" si="110"/>
        <v>5287.25969816226-4214.57964646326i</v>
      </c>
      <c r="AZ116" s="135" t="str">
        <f t="shared" si="111"/>
        <v>4.44072060194618-1.01558536341363i</v>
      </c>
      <c r="BA116" s="182">
        <f t="shared" si="112"/>
        <v>4.5553718942507029</v>
      </c>
      <c r="BB116" s="182">
        <f t="shared" si="113"/>
        <v>13.170476759124183</v>
      </c>
      <c r="BC116" s="182">
        <f t="shared" si="114"/>
        <v>-12.881911005113221</v>
      </c>
      <c r="BE116" s="135" t="str">
        <f t="shared" si="115"/>
        <v>-0.76873366028326-1.99207843585102i</v>
      </c>
      <c r="BF116" s="161">
        <f t="shared" si="116"/>
        <v>2.1352582829801046</v>
      </c>
      <c r="BG116" s="161">
        <f t="shared" si="117"/>
        <v>6.5890083046785097</v>
      </c>
      <c r="BH116" s="161">
        <f t="shared" si="118"/>
        <v>-111.10136600415495</v>
      </c>
      <c r="BI116" s="64">
        <f t="shared" si="119"/>
        <v>68.898633995845046</v>
      </c>
      <c r="BS116" s="64">
        <v>43651.583224016598</v>
      </c>
      <c r="BT116" s="64">
        <v>-4.82889714308984</v>
      </c>
      <c r="BU116" s="64">
        <v>-116.932195579216</v>
      </c>
      <c r="BV116" s="186">
        <v>36307.805477010232</v>
      </c>
      <c r="BW116" s="64">
        <v>-2.8787777810142705</v>
      </c>
      <c r="BX116" s="64">
        <v>-112.45966672975403</v>
      </c>
      <c r="BZ116" s="64">
        <v>43651.583224016598</v>
      </c>
      <c r="CA116" s="64">
        <v>-9.5532076860324704</v>
      </c>
      <c r="CB116" s="64">
        <v>-100.026631389095</v>
      </c>
      <c r="CC116" s="186">
        <v>36307.805477010232</v>
      </c>
      <c r="CD116" s="64">
        <v>-7.7251947893628259</v>
      </c>
      <c r="CE116" s="64">
        <v>-93.974660712582974</v>
      </c>
      <c r="CG116" s="64">
        <v>43651.583224016598</v>
      </c>
      <c r="CH116" s="64">
        <v>-18.3693445020014</v>
      </c>
      <c r="CI116" s="64">
        <v>-164.32913144810499</v>
      </c>
      <c r="CJ116" s="64">
        <v>36307.805477010232</v>
      </c>
      <c r="CK116" s="64">
        <v>-14.55125530026632</v>
      </c>
      <c r="CL116" s="64">
        <v>-162.36976035906503</v>
      </c>
      <c r="CN116" s="64">
        <v>43651.583224016598</v>
      </c>
      <c r="CO116" s="64">
        <v>-10.251291006493499</v>
      </c>
      <c r="CP116" s="64">
        <v>-107.790179622832</v>
      </c>
      <c r="CQ116" s="186">
        <v>36307.805477010232</v>
      </c>
      <c r="CR116" s="64">
        <v>-8.6390427336554954</v>
      </c>
      <c r="CS116" s="64">
        <v>-104.76618372041538</v>
      </c>
      <c r="CU116" s="64">
        <v>43651.583224016598</v>
      </c>
      <c r="CV116" s="64">
        <v>-9.8745857956804297</v>
      </c>
      <c r="CW116" s="64">
        <v>-102.879394963989</v>
      </c>
      <c r="CX116" s="139">
        <v>36307.805477010232</v>
      </c>
      <c r="CY116" s="64">
        <v>-8.0253921765269904</v>
      </c>
      <c r="CZ116" s="64">
        <v>-95.609326008641418</v>
      </c>
    </row>
    <row r="117" spans="2:104">
      <c r="B117" s="135">
        <f t="shared" si="58"/>
        <v>4.6000000000000005</v>
      </c>
      <c r="C117" s="139">
        <f t="shared" si="92"/>
        <v>39810.717055349814</v>
      </c>
      <c r="D117" s="139">
        <f t="shared" si="93"/>
        <v>250138.11247045771</v>
      </c>
      <c r="E117" s="32" t="str">
        <f t="shared" si="94"/>
        <v>250138.112470458i</v>
      </c>
      <c r="F117"/>
      <c r="G117" s="153" t="str">
        <f t="shared" si="75"/>
        <v>0.04+0.0154420004453364i</v>
      </c>
      <c r="H117" s="153" t="str">
        <f t="shared" si="76"/>
        <v>1+7.40482095030138i</v>
      </c>
      <c r="I117" t="str">
        <f t="shared" si="52"/>
        <v>0.00276448955618904-0.00502854973722159i</v>
      </c>
      <c r="J117"/>
      <c r="K117" t="str">
        <f t="shared" si="53"/>
        <v>0.04+0.0154420004453364i</v>
      </c>
      <c r="L117" t="str">
        <f t="shared" si="77"/>
        <v>5.43580907071529+40.2511928886708i</v>
      </c>
      <c r="M117" t="str">
        <f t="shared" si="54"/>
        <v>0.000508570025220785-0.000925078432999469i</v>
      </c>
      <c r="N117" s="153" t="str">
        <f t="shared" si="78"/>
        <v>0.0011+0.0550303847435008i</v>
      </c>
      <c r="O117" s="135" t="str">
        <f t="shared" si="79"/>
        <v>0.000242+0.0121066846435702i</v>
      </c>
      <c r="Q117" s="135" t="str">
        <f t="shared" si="80"/>
        <v>-0.250138112470458i</v>
      </c>
      <c r="R117" s="135" t="str">
        <f t="shared" si="81"/>
        <v>-0.025358291079378</v>
      </c>
      <c r="S117" s="64" t="str">
        <f t="shared" si="55"/>
        <v>0.974641708920622-0.250138112470458i</v>
      </c>
      <c r="T117" s="135" t="str">
        <f t="shared" si="82"/>
        <v>0.00974641708920622-0.00250138112470458i</v>
      </c>
      <c r="U117" s="64" t="str">
        <f t="shared" si="56"/>
        <v>0.010496987114427+0.00868022508586615i</v>
      </c>
      <c r="W117" s="64" t="str">
        <f t="shared" si="57"/>
        <v>-0.0788545902682874-0.413840094999129i</v>
      </c>
      <c r="X117" s="172">
        <f t="shared" si="95"/>
        <v>0.42128573514334378</v>
      </c>
      <c r="Y117" s="188">
        <f t="shared" si="96"/>
        <v>-7.508464919215454</v>
      </c>
      <c r="Z117" s="161">
        <f t="shared" si="97"/>
        <v>-100.78802604851894</v>
      </c>
      <c r="AA117" s="161">
        <f t="shared" si="83"/>
        <v>-100.78802604851894</v>
      </c>
      <c r="AB117" s="199"/>
      <c r="AC117" s="64" t="str">
        <f t="shared" si="84"/>
        <v>-399779.14206021i</v>
      </c>
      <c r="AD117" s="64" t="str">
        <f t="shared" si="85"/>
        <v>22000-39977.9142060209i</v>
      </c>
      <c r="AE117" s="64" t="str">
        <f t="shared" si="98"/>
        <v>18136.4270031374-37250.8806926145i</v>
      </c>
      <c r="AF117" s="64" t="str">
        <f t="shared" si="86"/>
        <v>10000</v>
      </c>
      <c r="AG117" s="64" t="str">
        <f t="shared" si="87"/>
        <v>-10250.7472323131i</v>
      </c>
      <c r="AH117" s="64" t="str">
        <f t="shared" si="99"/>
        <v>5123.8022437037-4998.46706545656i</v>
      </c>
      <c r="AI117" s="64" t="str">
        <f t="shared" si="100"/>
        <v>5.44761004419573-1.95580953842747i</v>
      </c>
      <c r="AJ117" s="161">
        <f t="shared" si="101"/>
        <v>5.7880606548502991</v>
      </c>
      <c r="AK117" s="161">
        <f t="shared" si="102"/>
        <v>15.250661471499644</v>
      </c>
      <c r="AL117" s="161">
        <f t="shared" si="103"/>
        <v>-19.749233037318604</v>
      </c>
      <c r="AN117" s="64" t="str">
        <f t="shared" si="104"/>
        <v>-1.23896146315949-2.10021489841266i</v>
      </c>
      <c r="AO117" s="161">
        <f t="shared" si="105"/>
        <v>2.4384273880328697</v>
      </c>
      <c r="AP117" s="161">
        <f t="shared" si="106"/>
        <v>7.7421965522841818</v>
      </c>
      <c r="AQ117" s="161">
        <f t="shared" si="107"/>
        <v>-120.53725908583765</v>
      </c>
      <c r="AR117" s="64">
        <f t="shared" si="108"/>
        <v>59.462740914162353</v>
      </c>
      <c r="AT117" s="135" t="str">
        <f t="shared" si="88"/>
        <v>-125108.012216939i</v>
      </c>
      <c r="AU117" s="135" t="str">
        <f t="shared" si="89"/>
        <v>27456.1383070198-22393.4089341i</v>
      </c>
      <c r="AV117" s="135" t="str">
        <f t="shared" si="109"/>
        <v>19090.8115541323-22547.2732057563i</v>
      </c>
      <c r="AW117" s="135" t="str">
        <f t="shared" si="90"/>
        <v>10000</v>
      </c>
      <c r="AX117" s="135" t="str">
        <f t="shared" si="91"/>
        <v>1789.92604368691-9615.94206172741i</v>
      </c>
      <c r="AY117" s="135" t="str">
        <f t="shared" si="110"/>
        <v>4906.4706575047-4154.31639398365i</v>
      </c>
      <c r="AZ117" s="135" t="str">
        <f t="shared" si="111"/>
        <v>4.53251534906326-0.757728038070243i</v>
      </c>
      <c r="BA117" s="182">
        <f t="shared" si="112"/>
        <v>4.5954158864211436</v>
      </c>
      <c r="BB117" s="182">
        <f t="shared" si="113"/>
        <v>13.246496425452838</v>
      </c>
      <c r="BC117" s="182">
        <f t="shared" si="114"/>
        <v>-9.4907168906583266</v>
      </c>
      <c r="BE117" s="135" t="str">
        <f t="shared" si="115"/>
        <v>-0.6709878839936-1.81598624866453i</v>
      </c>
      <c r="BF117" s="161">
        <f t="shared" si="116"/>
        <v>1.9359831600003345</v>
      </c>
      <c r="BG117" s="161">
        <f t="shared" si="117"/>
        <v>5.7380315062373954</v>
      </c>
      <c r="BH117" s="161">
        <f t="shared" si="118"/>
        <v>-110.27874293917725</v>
      </c>
      <c r="BI117" s="64">
        <f t="shared" si="119"/>
        <v>69.721257060822751</v>
      </c>
      <c r="BS117" s="64">
        <v>47863.009232263801</v>
      </c>
      <c r="BT117" s="64">
        <v>-5.9761257208237097</v>
      </c>
      <c r="BU117" s="64">
        <v>-119.32418698168</v>
      </c>
      <c r="BV117" s="186">
        <v>39810.717055349814</v>
      </c>
      <c r="BW117" s="64">
        <v>-4.0257667576390608</v>
      </c>
      <c r="BX117" s="64">
        <v>-114.98154386413349</v>
      </c>
      <c r="BZ117" s="64">
        <v>47863.009232263801</v>
      </c>
      <c r="CA117" s="64">
        <v>-10.444117484706601</v>
      </c>
      <c r="CB117" s="64">
        <v>-102.511798364923</v>
      </c>
      <c r="CC117" s="186">
        <v>39810.717055349814</v>
      </c>
      <c r="CD117" s="64">
        <v>-8.5621428511189279</v>
      </c>
      <c r="CE117" s="64">
        <v>-96.298048277038717</v>
      </c>
      <c r="CG117" s="64">
        <v>47863.009232263801</v>
      </c>
      <c r="CH117" s="64">
        <v>-19.977917861405398</v>
      </c>
      <c r="CI117" s="64">
        <v>-165.157286537456</v>
      </c>
      <c r="CJ117" s="64">
        <v>39810.717055349814</v>
      </c>
      <c r="CK117" s="64">
        <v>-16.172997814215904</v>
      </c>
      <c r="CL117" s="64">
        <v>-163.69712643104705</v>
      </c>
      <c r="CN117" s="64">
        <v>47863.009232263801</v>
      </c>
      <c r="CO117" s="64">
        <v>-11.225184728479</v>
      </c>
      <c r="CP117" s="64">
        <v>-110.341031110957</v>
      </c>
      <c r="CQ117" s="186">
        <v>39810.717055349814</v>
      </c>
      <c r="CR117" s="64">
        <v>-9.6159791527085101</v>
      </c>
      <c r="CS117" s="64">
        <v>-107.43632966890027</v>
      </c>
      <c r="CU117" s="64">
        <v>47863.009232263801</v>
      </c>
      <c r="CV117" s="64">
        <v>-10.813184510134899</v>
      </c>
      <c r="CW117" s="64">
        <v>-105.931110393775</v>
      </c>
      <c r="CX117" s="139">
        <v>39810.717055349814</v>
      </c>
      <c r="CY117" s="64">
        <v>-8.8941871310658076</v>
      </c>
      <c r="CZ117" s="64">
        <v>-98.467941621200225</v>
      </c>
    </row>
    <row r="118" spans="2:104">
      <c r="B118" s="135">
        <f t="shared" si="58"/>
        <v>4.6400000000000006</v>
      </c>
      <c r="C118" s="139">
        <f t="shared" si="92"/>
        <v>43651.583224016678</v>
      </c>
      <c r="D118" s="139">
        <f t="shared" si="93"/>
        <v>274270.98634826852</v>
      </c>
      <c r="E118" s="32" t="str">
        <f t="shared" si="94"/>
        <v>274270.986348269i</v>
      </c>
      <c r="F118"/>
      <c r="G118" s="153" t="str">
        <f t="shared" si="75"/>
        <v>0.04+0.016514756671713i</v>
      </c>
      <c r="H118" s="153" t="str">
        <f t="shared" si="76"/>
        <v>1+7.9925019059094i</v>
      </c>
      <c r="I118" t="str">
        <f t="shared" si="52"/>
        <v>0.00265095552241259-0.00467301039365067i</v>
      </c>
      <c r="J118"/>
      <c r="K118" t="str">
        <f t="shared" si="53"/>
        <v>0.04+0.016514756671713i</v>
      </c>
      <c r="L118" t="str">
        <f t="shared" si="77"/>
        <v>5.43580907071529+43.4457143578515i</v>
      </c>
      <c r="M118" t="str">
        <f t="shared" si="54"/>
        <v>0.000487683707784048-0.000859671547116308i</v>
      </c>
      <c r="N118" s="153" t="str">
        <f t="shared" si="78"/>
        <v>0.0011+0.0603396169966192i</v>
      </c>
      <c r="O118" s="135" t="str">
        <f t="shared" si="79"/>
        <v>0.000242+0.0132747157392562i</v>
      </c>
      <c r="Q118" s="135" t="str">
        <f t="shared" si="80"/>
        <v>-0.274270986348269i</v>
      </c>
      <c r="R118" s="135" t="str">
        <f t="shared" si="81"/>
        <v>-0.0304873714874122</v>
      </c>
      <c r="S118" s="64" t="str">
        <f t="shared" si="55"/>
        <v>0.969512628512588-0.274270986348269i</v>
      </c>
      <c r="T118" s="135" t="str">
        <f t="shared" si="82"/>
        <v>0.00969512628512588-0.00274270986348269i</v>
      </c>
      <c r="U118" s="64" t="str">
        <f t="shared" si="56"/>
        <v>0.0104248099929099+0.0096723343286572i</v>
      </c>
      <c r="W118" s="64" t="str">
        <f t="shared" si="57"/>
        <v>-0.0868473972871652-0.367679922619441i</v>
      </c>
      <c r="X118" s="172">
        <f t="shared" si="95"/>
        <v>0.37779755943228749</v>
      </c>
      <c r="Y118" s="188">
        <f t="shared" si="96"/>
        <v>-8.4548170388455777</v>
      </c>
      <c r="Z118" s="161">
        <f t="shared" si="97"/>
        <v>-103.28989698528981</v>
      </c>
      <c r="AA118" s="161">
        <f t="shared" si="83"/>
        <v>-103.28989698528981</v>
      </c>
      <c r="AB118" s="199"/>
      <c r="AC118" s="64" t="str">
        <f t="shared" si="84"/>
        <v>-364602.910907318i</v>
      </c>
      <c r="AD118" s="64" t="str">
        <f t="shared" si="85"/>
        <v>22000-36460.2910907318i</v>
      </c>
      <c r="AE118" s="64" t="str">
        <f t="shared" si="98"/>
        <v>18127.2735247056-34140.0762112778i</v>
      </c>
      <c r="AF118" s="64" t="str">
        <f t="shared" si="86"/>
        <v>10000</v>
      </c>
      <c r="AG118" s="64" t="str">
        <f t="shared" si="87"/>
        <v>-9348.79258736713i</v>
      </c>
      <c r="AH118" s="64" t="str">
        <f t="shared" si="99"/>
        <v>4663.81850730432-4988.6853983759i</v>
      </c>
      <c r="AI118" s="64" t="str">
        <f t="shared" si="100"/>
        <v>5.46454397929473-1.47501139725169i</v>
      </c>
      <c r="AJ118" s="161">
        <f t="shared" si="101"/>
        <v>5.6601147977464787</v>
      </c>
      <c r="AK118" s="161">
        <f t="shared" si="102"/>
        <v>15.056504791688539</v>
      </c>
      <c r="AL118" s="161">
        <f t="shared" si="103"/>
        <v>-15.10551475876971</v>
      </c>
      <c r="AN118" s="64" t="str">
        <f t="shared" si="104"/>
        <v>-1.01691349836729-1.8811022066374i</v>
      </c>
      <c r="AO118" s="161">
        <f t="shared" si="105"/>
        <v>2.138377556695191</v>
      </c>
      <c r="AP118" s="161">
        <f t="shared" si="106"/>
        <v>6.6016877528429436</v>
      </c>
      <c r="AQ118" s="161">
        <f t="shared" si="107"/>
        <v>-118.39541174405956</v>
      </c>
      <c r="AR118" s="64">
        <f t="shared" si="108"/>
        <v>61.604588255940442</v>
      </c>
      <c r="AT118" s="135" t="str">
        <f t="shared" si="88"/>
        <v>-114099.86323212i</v>
      </c>
      <c r="AU118" s="135" t="str">
        <f t="shared" si="89"/>
        <v>27456.1383070198-20423.0316780287i</v>
      </c>
      <c r="AV118" s="135" t="str">
        <f t="shared" si="109"/>
        <v>18962.3699452614-21192.6644531288i</v>
      </c>
      <c r="AW118" s="135" t="str">
        <f t="shared" si="90"/>
        <v>10000</v>
      </c>
      <c r="AX118" s="135" t="str">
        <f t="shared" si="91"/>
        <v>1789.92604368691-8769.84339091381i</v>
      </c>
      <c r="AY118" s="135" t="str">
        <f t="shared" si="110"/>
        <v>4539.48912619481-4061.75789569908i</v>
      </c>
      <c r="AZ118" s="135" t="str">
        <f t="shared" si="111"/>
        <v>4.63979767164621-0.517003028453312i</v>
      </c>
      <c r="BA118" s="182">
        <f t="shared" si="112"/>
        <v>4.6685131000398288</v>
      </c>
      <c r="BB118" s="182">
        <f t="shared" si="113"/>
        <v>13.38357163585534</v>
      </c>
      <c r="BC118" s="182">
        <f t="shared" si="114"/>
        <v>-6.3581218715968788</v>
      </c>
      <c r="BE118" s="135" t="str">
        <f t="shared" si="115"/>
        <v>-0.593045985217253-1.66106008146999i</v>
      </c>
      <c r="BF118" s="161">
        <f t="shared" si="116"/>
        <v>1.7637528553727113</v>
      </c>
      <c r="BG118" s="161">
        <f t="shared" si="117"/>
        <v>4.9287545970097693</v>
      </c>
      <c r="BH118" s="161">
        <f t="shared" si="118"/>
        <v>-109.64801885688668</v>
      </c>
      <c r="BI118" s="64">
        <f t="shared" si="119"/>
        <v>70.351981143113321</v>
      </c>
      <c r="BS118" s="64">
        <v>52480.746024977198</v>
      </c>
      <c r="BT118" s="64">
        <v>-7.1331095673566702</v>
      </c>
      <c r="BU118" s="64">
        <v>-121.64902385869701</v>
      </c>
      <c r="BV118" s="186">
        <v>43651.583224016678</v>
      </c>
      <c r="BW118" s="64">
        <v>-5.1795015583367796</v>
      </c>
      <c r="BX118" s="64">
        <v>-117.35231203608632</v>
      </c>
      <c r="BZ118" s="64">
        <v>52480.746024977198</v>
      </c>
      <c r="CA118" s="64">
        <v>-11.3566232096222</v>
      </c>
      <c r="CB118" s="64">
        <v>-105.03705411905899</v>
      </c>
      <c r="CC118" s="186">
        <v>43651.583224016678</v>
      </c>
      <c r="CD118" s="64">
        <v>-9.4162040714374502</v>
      </c>
      <c r="CE118" s="64">
        <v>-98.657624139262921</v>
      </c>
      <c r="CG118" s="64">
        <v>52480.746024977198</v>
      </c>
      <c r="CH118" s="64">
        <v>-21.5817148045893</v>
      </c>
      <c r="CI118" s="64">
        <v>-165.84017056952001</v>
      </c>
      <c r="CJ118" s="64">
        <v>43651.583224016678</v>
      </c>
      <c r="CK118" s="64">
        <v>-17.792869070190459</v>
      </c>
      <c r="CL118" s="64">
        <v>-164.86402557045346</v>
      </c>
      <c r="CN118" s="64">
        <v>52480.746024977198</v>
      </c>
      <c r="CO118" s="64">
        <v>-12.217289397629401</v>
      </c>
      <c r="CP118" s="64">
        <v>-112.88090125988499</v>
      </c>
      <c r="CQ118" s="186">
        <v>43651.583224016678</v>
      </c>
      <c r="CR118" s="64">
        <v>-10.61653043233089</v>
      </c>
      <c r="CS118" s="64">
        <v>-110.06826792593979</v>
      </c>
      <c r="CU118" s="64">
        <v>52480.746024977198</v>
      </c>
      <c r="CV118" s="64">
        <v>-11.7834081828588</v>
      </c>
      <c r="CW118" s="64">
        <v>-108.999887609544</v>
      </c>
      <c r="CX118" s="139">
        <v>43651.583224016678</v>
      </c>
      <c r="CY118" s="64">
        <v>-9.7886900862077795</v>
      </c>
      <c r="CZ118" s="64">
        <v>-101.34315876220916</v>
      </c>
    </row>
    <row r="119" spans="2:104">
      <c r="B119" s="135">
        <f t="shared" si="58"/>
        <v>4.6800000000000006</v>
      </c>
      <c r="C119" s="139">
        <f t="shared" si="92"/>
        <v>47863.00923226399</v>
      </c>
      <c r="D119" s="139">
        <f t="shared" si="93"/>
        <v>300732.156365562</v>
      </c>
      <c r="E119" s="32" t="str">
        <f t="shared" si="94"/>
        <v>300732.156365562i</v>
      </c>
      <c r="F119"/>
      <c r="G119" s="153" t="str">
        <f t="shared" si="75"/>
        <v>0.04+0.0175880582449902i</v>
      </c>
      <c r="H119" s="153" t="str">
        <f t="shared" si="76"/>
        <v>1+8.60567781002503i</v>
      </c>
      <c r="I119" t="str">
        <f t="shared" si="52"/>
        <v>0.00254946776415917-0.00435183992040854i</v>
      </c>
      <c r="J119"/>
      <c r="K119" t="str">
        <f t="shared" si="53"/>
        <v>0.04+0.0175880582449902i</v>
      </c>
      <c r="L119" t="str">
        <f t="shared" si="77"/>
        <v>5.43580907071529+46.7788214993873i</v>
      </c>
      <c r="M119" t="str">
        <f t="shared" si="54"/>
        <v>0.000469013486491662-0.000800587339215703i</v>
      </c>
      <c r="N119" s="153" t="str">
        <f t="shared" si="78"/>
        <v>0.0011+0.0661610744004236i</v>
      </c>
      <c r="O119" s="135" t="str">
        <f t="shared" si="79"/>
        <v>0.000242+0.0145554363680932i</v>
      </c>
      <c r="Q119" s="135" t="str">
        <f t="shared" si="80"/>
        <v>-0.300732156365562i</v>
      </c>
      <c r="R119" s="135" t="str">
        <f t="shared" si="81"/>
        <v>-0.0366538824442846</v>
      </c>
      <c r="S119" s="64" t="str">
        <f t="shared" si="55"/>
        <v>0.963346117555715-0.300732156365562i</v>
      </c>
      <c r="T119" s="135" t="str">
        <f t="shared" si="82"/>
        <v>0.00963346117555715-0.00300732156365562i</v>
      </c>
      <c r="U119" s="64" t="str">
        <f t="shared" si="56"/>
        <v>0.0103444746620488+0.0107475274652219i</v>
      </c>
      <c r="W119" s="64" t="str">
        <f t="shared" si="57"/>
        <v>-0.0916719545110077-0.325448433245438i</v>
      </c>
      <c r="X119" s="172">
        <f t="shared" si="95"/>
        <v>0.33811304314648755</v>
      </c>
      <c r="Y119" s="188">
        <f t="shared" si="96"/>
        <v>-9.4187615088321621</v>
      </c>
      <c r="Z119" s="161">
        <f t="shared" si="97"/>
        <v>-105.73140772418657</v>
      </c>
      <c r="AA119" s="161">
        <f t="shared" si="83"/>
        <v>-105.73140772418657</v>
      </c>
      <c r="AB119" s="199"/>
      <c r="AC119" s="64" t="str">
        <f t="shared" si="84"/>
        <v>-332521.806808191i</v>
      </c>
      <c r="AD119" s="64" t="str">
        <f t="shared" si="85"/>
        <v>22000-33252.1806808191i</v>
      </c>
      <c r="AE119" s="64" t="str">
        <f t="shared" si="98"/>
        <v>18116.2808475075-31318.8848053001i</v>
      </c>
      <c r="AF119" s="64" t="str">
        <f t="shared" si="86"/>
        <v>10000</v>
      </c>
      <c r="AG119" s="64" t="str">
        <f t="shared" si="87"/>
        <v>-8526.20017456899i</v>
      </c>
      <c r="AH119" s="64" t="str">
        <f t="shared" si="99"/>
        <v>4209.48092468733-4937.11247507759i</v>
      </c>
      <c r="AI119" s="64" t="str">
        <f t="shared" si="100"/>
        <v>5.48488043211114-1.00711068073794i</v>
      </c>
      <c r="AJ119" s="161">
        <f t="shared" si="101"/>
        <v>5.576574690418135</v>
      </c>
      <c r="AK119" s="161">
        <f t="shared" si="102"/>
        <v>14.927350466851248</v>
      </c>
      <c r="AL119" s="161">
        <f t="shared" si="103"/>
        <v>-10.404514620091742</v>
      </c>
      <c r="AN119" s="64" t="str">
        <f t="shared" si="104"/>
        <v>-0.830572302621718-1.69272193865697i</v>
      </c>
      <c r="AO119" s="161">
        <f t="shared" si="105"/>
        <v>1.8855126389109551</v>
      </c>
      <c r="AP119" s="161">
        <f t="shared" si="106"/>
        <v>5.508588958019077</v>
      </c>
      <c r="AQ119" s="161">
        <f t="shared" si="107"/>
        <v>-116.13592234427836</v>
      </c>
      <c r="AR119" s="64">
        <f t="shared" si="108"/>
        <v>63.864077655721644</v>
      </c>
      <c r="AT119" s="135" t="str">
        <f t="shared" si="88"/>
        <v>-104060.31203672i</v>
      </c>
      <c r="AU119" s="135" t="str">
        <f t="shared" si="89"/>
        <v>27456.1383070198-18626.0262628712i</v>
      </c>
      <c r="AV119" s="135" t="str">
        <f t="shared" si="109"/>
        <v>18810.2188111922-20007.819193281i</v>
      </c>
      <c r="AW119" s="135" t="str">
        <f t="shared" si="90"/>
        <v>10000</v>
      </c>
      <c r="AX119" s="135" t="str">
        <f t="shared" si="91"/>
        <v>1789.92604368691-7998.19223196718i</v>
      </c>
      <c r="AY119" s="135" t="str">
        <f t="shared" si="110"/>
        <v>4191.39453487472-3940.51183506821i</v>
      </c>
      <c r="AZ119" s="135" t="str">
        <f t="shared" si="111"/>
        <v>4.7644685789386-0.294263486746589i</v>
      </c>
      <c r="BA119" s="182">
        <f t="shared" si="112"/>
        <v>4.7735470919773553</v>
      </c>
      <c r="BB119" s="182">
        <f t="shared" si="113"/>
        <v>13.576824226444227</v>
      </c>
      <c r="BC119" s="182">
        <f t="shared" si="114"/>
        <v>-3.5342172251952286</v>
      </c>
      <c r="BE119" s="135" t="str">
        <f t="shared" si="115"/>
        <v>-0.532535737560602-1.5236131252914i</v>
      </c>
      <c r="BF119" s="161">
        <f t="shared" si="116"/>
        <v>1.6139985338715281</v>
      </c>
      <c r="BG119" s="161">
        <f t="shared" si="117"/>
        <v>4.158062717612057</v>
      </c>
      <c r="BH119" s="161">
        <f t="shared" si="118"/>
        <v>-109.26562494938182</v>
      </c>
      <c r="BI119" s="64">
        <f t="shared" si="119"/>
        <v>70.734375050618183</v>
      </c>
      <c r="BS119" s="64">
        <v>57543.993733715601</v>
      </c>
      <c r="BT119" s="64">
        <v>-8.30225292370719</v>
      </c>
      <c r="BU119" s="64">
        <v>-123.93541236708499</v>
      </c>
      <c r="BV119" s="186">
        <v>47863.00923226399</v>
      </c>
      <c r="BW119" s="64">
        <v>-6.3397503419010679</v>
      </c>
      <c r="BX119" s="64">
        <v>-119.61214499733889</v>
      </c>
      <c r="BZ119" s="64">
        <v>57543.993733715601</v>
      </c>
      <c r="CA119" s="64">
        <v>-12.292663423186101</v>
      </c>
      <c r="CB119" s="64">
        <v>-107.60627011599099</v>
      </c>
      <c r="CC119" s="186">
        <v>47863.00923226399</v>
      </c>
      <c r="CD119" s="64">
        <v>-10.28903788028418</v>
      </c>
      <c r="CE119" s="64">
        <v>-101.06279103396848</v>
      </c>
      <c r="CG119" s="64">
        <v>57543.993733715601</v>
      </c>
      <c r="CH119" s="64">
        <v>-23.180477754210202</v>
      </c>
      <c r="CI119" s="64">
        <v>-166.38459500888101</v>
      </c>
      <c r="CJ119" s="64">
        <v>47863.00923226399</v>
      </c>
      <c r="CK119" s="64">
        <v>-19.411309050491393</v>
      </c>
      <c r="CL119" s="64">
        <v>-165.8854265626598</v>
      </c>
      <c r="CN119" s="64">
        <v>57543.993733715601</v>
      </c>
      <c r="CO119" s="64">
        <v>-13.226883470094901</v>
      </c>
      <c r="CP119" s="64">
        <v>-115.41609640080701</v>
      </c>
      <c r="CQ119" s="186">
        <v>47863.00923226399</v>
      </c>
      <c r="CR119" s="64">
        <v>-11.640206435687958</v>
      </c>
      <c r="CS119" s="64">
        <v>-112.66430816521697</v>
      </c>
      <c r="CU119" s="64">
        <v>57543.993733715601</v>
      </c>
      <c r="CV119" s="64">
        <v>-12.7872247364222</v>
      </c>
      <c r="CW119" s="64">
        <v>-112.081665714577</v>
      </c>
      <c r="CX119" s="139">
        <v>47863.00923226399</v>
      </c>
      <c r="CY119" s="64">
        <v>-10.710468560944758</v>
      </c>
      <c r="CZ119" s="64">
        <v>-104.23895813361084</v>
      </c>
    </row>
    <row r="120" spans="2:104">
      <c r="B120" s="135">
        <f t="shared" si="58"/>
        <v>4.7200000000000006</v>
      </c>
      <c r="C120" s="139">
        <f t="shared" si="92"/>
        <v>52480.746024977409</v>
      </c>
      <c r="D120" s="139">
        <f t="shared" si="93"/>
        <v>329746.25233396154</v>
      </c>
      <c r="E120" s="32" t="str">
        <f t="shared" si="94"/>
        <v>329746.252333962i</v>
      </c>
      <c r="F120"/>
      <c r="G120" s="153" t="str">
        <f t="shared" si="75"/>
        <v>0.04+0.0186425257507776i</v>
      </c>
      <c r="H120" s="153" t="str">
        <f t="shared" si="76"/>
        <v>1+9.24096411965591i</v>
      </c>
      <c r="I120" t="str">
        <f t="shared" si="52"/>
        <v>0.0024570158559195-0.00406266961520011i</v>
      </c>
      <c r="J120"/>
      <c r="K120" t="str">
        <f t="shared" si="53"/>
        <v>0.04+0.0186425257507776i</v>
      </c>
      <c r="L120" t="str">
        <f t="shared" si="77"/>
        <v>5.43580907071529+50.2321165837801i</v>
      </c>
      <c r="M120" t="str">
        <f t="shared" si="54"/>
        <v>0.000452005547648159-0.000747390050376716i</v>
      </c>
      <c r="N120" s="153" t="str">
        <f t="shared" si="78"/>
        <v>0.0011+0.0725441755134716i</v>
      </c>
      <c r="O120" s="135" t="str">
        <f t="shared" si="79"/>
        <v>0.000242+0.0159597186129638i</v>
      </c>
      <c r="Q120" s="135" t="str">
        <f t="shared" si="80"/>
        <v>-0.329746252333962i</v>
      </c>
      <c r="R120" s="135" t="str">
        <f t="shared" si="81"/>
        <v>-0.0440676592534111</v>
      </c>
      <c r="S120" s="64" t="str">
        <f t="shared" si="55"/>
        <v>0.955932340746589-0.329746252333962i</v>
      </c>
      <c r="T120" s="135" t="str">
        <f t="shared" si="82"/>
        <v>0.00955932340746589-0.00329746252333962i</v>
      </c>
      <c r="U120" s="64" t="str">
        <f t="shared" si="56"/>
        <v>0.010253328955114+0.0119148660392475i</v>
      </c>
      <c r="W120" s="64" t="str">
        <f t="shared" si="57"/>
        <v>-0.0939460223053953-0.287059486474697i</v>
      </c>
      <c r="X120" s="172">
        <f t="shared" si="95"/>
        <v>0.30204139431892868</v>
      </c>
      <c r="Y120" s="188">
        <f t="shared" si="96"/>
        <v>-10.398670671164671</v>
      </c>
      <c r="Z120" s="161">
        <f t="shared" si="97"/>
        <v>-108.12173067247819</v>
      </c>
      <c r="AA120" s="161">
        <f t="shared" si="83"/>
        <v>-108.12173067247819</v>
      </c>
      <c r="AB120" s="199"/>
      <c r="AC120" s="64" t="str">
        <f t="shared" si="84"/>
        <v>-303263.492131282i</v>
      </c>
      <c r="AD120" s="64" t="str">
        <f t="shared" si="85"/>
        <v>22000-30326.3492131282i</v>
      </c>
      <c r="AE120" s="64" t="str">
        <f t="shared" si="98"/>
        <v>18103.0823797805-28763.2930896562i</v>
      </c>
      <c r="AF120" s="64" t="str">
        <f t="shared" si="86"/>
        <v>10000</v>
      </c>
      <c r="AG120" s="64" t="str">
        <f t="shared" si="87"/>
        <v>-7775.98697772517i</v>
      </c>
      <c r="AH120" s="64" t="str">
        <f t="shared" si="99"/>
        <v>3768.14923234395-4845.879041642i</v>
      </c>
      <c r="AI120" s="64" t="str">
        <f t="shared" si="100"/>
        <v>5.50929759740607-0.548254116499637i</v>
      </c>
      <c r="AJ120" s="161">
        <f t="shared" si="101"/>
        <v>5.5365099650450453</v>
      </c>
      <c r="AK120" s="161">
        <f t="shared" si="102"/>
        <v>14.864721718586527</v>
      </c>
      <c r="AL120" s="161">
        <f t="shared" si="103"/>
        <v>-5.6830410770717599</v>
      </c>
      <c r="AN120" s="64" t="str">
        <f t="shared" si="104"/>
        <v>-0.674958140112996-1.52998984568997i</v>
      </c>
      <c r="AO120" s="161">
        <f t="shared" si="105"/>
        <v>1.6722551895028501</v>
      </c>
      <c r="AP120" s="161">
        <f t="shared" si="106"/>
        <v>4.4660510474218631</v>
      </c>
      <c r="AQ120" s="161">
        <f t="shared" si="107"/>
        <v>-113.80477174954996</v>
      </c>
      <c r="AR120" s="64">
        <f t="shared" si="108"/>
        <v>66.195228250450043</v>
      </c>
      <c r="AT120" s="135" t="str">
        <f t="shared" si="88"/>
        <v>-94904.1325242473i</v>
      </c>
      <c r="AU120" s="135" t="str">
        <f t="shared" si="89"/>
        <v>27456.1383070198-16987.1378458664i</v>
      </c>
      <c r="AV120" s="135" t="str">
        <f t="shared" si="109"/>
        <v>18630.4944454538-18979.7739048777i</v>
      </c>
      <c r="AW120" s="135" t="str">
        <f t="shared" si="90"/>
        <v>10000</v>
      </c>
      <c r="AX120" s="135" t="str">
        <f t="shared" si="91"/>
        <v>1789.92604368691-7294.4380108063i</v>
      </c>
      <c r="AY120" s="135" t="str">
        <f t="shared" si="110"/>
        <v>3866.16016797162-3795.01230602747i</v>
      </c>
      <c r="AZ120" s="135" t="str">
        <f t="shared" si="111"/>
        <v>4.90835856426063-0.0911738613504531i</v>
      </c>
      <c r="BA120" s="182">
        <f t="shared" si="112"/>
        <v>4.9092052786926956</v>
      </c>
      <c r="BB120" s="182">
        <f t="shared" si="113"/>
        <v>13.82022385055118</v>
      </c>
      <c r="BC120" s="182">
        <f t="shared" si="114"/>
        <v>-1.0641595758571201</v>
      </c>
      <c r="BE120" s="135" t="str">
        <f t="shared" si="115"/>
        <v>-0.487293084980083-1.40042546727824i</v>
      </c>
      <c r="BF120" s="161">
        <f t="shared" si="116"/>
        <v>1.4827832073741878</v>
      </c>
      <c r="BG120" s="161">
        <f t="shared" si="117"/>
        <v>3.4215531793865162</v>
      </c>
      <c r="BH120" s="161">
        <f t="shared" si="118"/>
        <v>-109.18589024833527</v>
      </c>
      <c r="BI120" s="64">
        <f t="shared" si="119"/>
        <v>70.814109751664731</v>
      </c>
      <c r="BS120" s="64">
        <v>63095.734448019197</v>
      </c>
      <c r="BT120" s="64">
        <v>-9.4869563428394805</v>
      </c>
      <c r="BU120" s="64">
        <v>-126.205318154289</v>
      </c>
      <c r="BV120" s="186">
        <v>52480.746024977409</v>
      </c>
      <c r="BW120" s="64">
        <v>-7.507832444855147</v>
      </c>
      <c r="BX120" s="64">
        <v>-121.79674094519133</v>
      </c>
      <c r="BZ120" s="64">
        <v>63095.734448019197</v>
      </c>
      <c r="CA120" s="64">
        <v>-13.2544080678427</v>
      </c>
      <c r="CB120" s="64">
        <v>-110.22075873318801</v>
      </c>
      <c r="CC120" s="186">
        <v>52480.746024977409</v>
      </c>
      <c r="CD120" s="64">
        <v>-11.182687222435348</v>
      </c>
      <c r="CE120" s="64">
        <v>-103.52092043846038</v>
      </c>
      <c r="CG120" s="64">
        <v>63095.734448019197</v>
      </c>
      <c r="CH120" s="64">
        <v>-24.773658944712</v>
      </c>
      <c r="CI120" s="64">
        <v>-166.794762462877</v>
      </c>
      <c r="CJ120" s="64">
        <v>52480.746024977409</v>
      </c>
      <c r="CK120" s="64">
        <v>-21.028784307335453</v>
      </c>
      <c r="CL120" s="64">
        <v>-166.77378915810797</v>
      </c>
      <c r="CN120" s="64">
        <v>63095.734448019197</v>
      </c>
      <c r="CO120" s="64">
        <v>-14.2532875056355</v>
      </c>
      <c r="CP120" s="64">
        <v>-117.954249053908</v>
      </c>
      <c r="CQ120" s="186">
        <v>52480.746024977409</v>
      </c>
      <c r="CR120" s="64">
        <v>-12.686641110969511</v>
      </c>
      <c r="CS120" s="64">
        <v>-115.22798077204247</v>
      </c>
      <c r="CU120" s="64">
        <v>63095.734448019197</v>
      </c>
      <c r="CV120" s="64">
        <v>-13.826622961258501</v>
      </c>
      <c r="CW120" s="64">
        <v>-115.168892024347</v>
      </c>
      <c r="CX120" s="139">
        <v>52480.746024977409</v>
      </c>
      <c r="CY120" s="64">
        <v>-11.661376753667884</v>
      </c>
      <c r="CZ120" s="64">
        <v>-107.15671155299114</v>
      </c>
    </row>
    <row r="121" spans="2:104">
      <c r="B121" s="135">
        <f t="shared" si="58"/>
        <v>4.7600000000000007</v>
      </c>
      <c r="C121" s="139">
        <f t="shared" si="92"/>
        <v>57543.993733715834</v>
      </c>
      <c r="D121" s="139">
        <f t="shared" si="93"/>
        <v>361559.5759441175</v>
      </c>
      <c r="E121" s="32" t="str">
        <f t="shared" si="94"/>
        <v>361559.575944118i</v>
      </c>
      <c r="F121"/>
      <c r="G121" s="153" t="str">
        <f t="shared" si="75"/>
        <v>0.04+0.0196557807176329i</v>
      </c>
      <c r="H121" s="153" t="str">
        <f t="shared" si="76"/>
        <v>1+9.89433917230356i</v>
      </c>
      <c r="I121" t="str">
        <f t="shared" si="52"/>
        <v>0.0023709385955198-0.00380308990314505i</v>
      </c>
      <c r="J121"/>
      <c r="K121" t="str">
        <f t="shared" si="53"/>
        <v>0.04+0.0196557807176329i</v>
      </c>
      <c r="L121" t="str">
        <f t="shared" si="77"/>
        <v>5.43580907071529+53.7837386215413i</v>
      </c>
      <c r="M121" t="str">
        <f t="shared" si="54"/>
        <v>0.000436170322517934-0.000699636402542852i</v>
      </c>
      <c r="N121" s="153" t="str">
        <f t="shared" si="78"/>
        <v>0.0011+0.079543106707706i</v>
      </c>
      <c r="O121" s="135" t="str">
        <f t="shared" si="79"/>
        <v>0.000242+0.0174994834756953i</v>
      </c>
      <c r="Q121" s="135" t="str">
        <f t="shared" si="80"/>
        <v>-0.361559575944118i</v>
      </c>
      <c r="R121" s="135" t="str">
        <f t="shared" si="81"/>
        <v>-0.0529809794372148</v>
      </c>
      <c r="S121" s="64" t="str">
        <f t="shared" si="55"/>
        <v>0.947019020562785-0.361559575944118i</v>
      </c>
      <c r="T121" s="135" t="str">
        <f t="shared" si="82"/>
        <v>0.00947019020562785-0.00361559575944118i</v>
      </c>
      <c r="U121" s="64" t="str">
        <f t="shared" si="56"/>
        <v>0.0101483605281458+0.0131842513137113i</v>
      </c>
      <c r="W121" s="64" t="str">
        <f t="shared" si="57"/>
        <v>-0.0942140978095833-0.252350865267972i</v>
      </c>
      <c r="X121" s="172">
        <f t="shared" si="95"/>
        <v>0.26936454003370208</v>
      </c>
      <c r="Y121" s="188">
        <f t="shared" si="96"/>
        <v>-11.393191533901572</v>
      </c>
      <c r="Z121" s="161">
        <f t="shared" si="97"/>
        <v>-110.47289888187993</v>
      </c>
      <c r="AA121" s="161">
        <f t="shared" si="83"/>
        <v>-110.47289888187993</v>
      </c>
      <c r="AB121" s="199"/>
      <c r="AC121" s="64" t="str">
        <f t="shared" si="84"/>
        <v>-276579.592004655i</v>
      </c>
      <c r="AD121" s="64" t="str">
        <f t="shared" si="85"/>
        <v>22000-27657.9592004655i</v>
      </c>
      <c r="AE121" s="64" t="str">
        <f t="shared" si="98"/>
        <v>18087.2397685187-26451.5222212914i</v>
      </c>
      <c r="AF121" s="64" t="str">
        <f t="shared" si="86"/>
        <v>10000</v>
      </c>
      <c r="AG121" s="64" t="str">
        <f t="shared" si="87"/>
        <v>-7091.78441037576i</v>
      </c>
      <c r="AH121" s="64" t="str">
        <f t="shared" si="99"/>
        <v>3346.348147969-4718.62644763012i</v>
      </c>
      <c r="AI121" s="64" t="str">
        <f t="shared" si="100"/>
        <v>5.53860642824042-0.0947024732541086i</v>
      </c>
      <c r="AJ121" s="161">
        <f t="shared" si="101"/>
        <v>5.5394160094171063</v>
      </c>
      <c r="AK121" s="161">
        <f t="shared" si="102"/>
        <v>14.869279636603759</v>
      </c>
      <c r="AL121" s="161">
        <f t="shared" si="103"/>
        <v>-0.97958275219763358</v>
      </c>
      <c r="AN121" s="64" t="str">
        <f t="shared" si="104"/>
        <v>-0.545713058827721-1.38874981646725i</v>
      </c>
      <c r="AO121" s="161">
        <f t="shared" si="105"/>
        <v>1.4921222454319647</v>
      </c>
      <c r="AP121" s="161">
        <f t="shared" si="106"/>
        <v>3.4760881027021884</v>
      </c>
      <c r="AQ121" s="161">
        <f t="shared" si="107"/>
        <v>-111.45248163407754</v>
      </c>
      <c r="AR121" s="64">
        <f t="shared" si="108"/>
        <v>68.547518365922457</v>
      </c>
      <c r="AT121" s="135" t="str">
        <f t="shared" si="88"/>
        <v>-86553.5975617833i</v>
      </c>
      <c r="AU121" s="135" t="str">
        <f t="shared" si="89"/>
        <v>27456.1383070198-15492.4538450632i</v>
      </c>
      <c r="AV121" s="135" t="str">
        <f t="shared" si="109"/>
        <v>18418.9132269213-18096.1420742396i</v>
      </c>
      <c r="AW121" s="135" t="str">
        <f t="shared" si="90"/>
        <v>10000</v>
      </c>
      <c r="AX121" s="135" t="str">
        <f t="shared" si="91"/>
        <v>1789.92604368691-6652.60653286511i</v>
      </c>
      <c r="AY121" s="135" t="str">
        <f t="shared" si="110"/>
        <v>3566.54136526246-3630.15584523449i</v>
      </c>
      <c r="AZ121" s="135" t="str">
        <f t="shared" si="111"/>
        <v>5.07307011437893+0.0896927925393412i</v>
      </c>
      <c r="BA121" s="182">
        <f t="shared" si="112"/>
        <v>5.0738629447826185</v>
      </c>
      <c r="BB121" s="182">
        <f t="shared" si="113"/>
        <v>14.106774637578148</v>
      </c>
      <c r="BC121" s="182">
        <f t="shared" si="114"/>
        <v>1.0128941613901812</v>
      </c>
      <c r="BE121" s="135" t="str">
        <f t="shared" si="115"/>
        <v>-0.455320670145367-1.28864395845773i</v>
      </c>
      <c r="BF121" s="161">
        <f t="shared" si="116"/>
        <v>1.3667187583154166</v>
      </c>
      <c r="BG121" s="161">
        <f t="shared" si="117"/>
        <v>2.7135831036765841</v>
      </c>
      <c r="BH121" s="161">
        <f t="shared" si="118"/>
        <v>-109.46000472048972</v>
      </c>
      <c r="BI121" s="64">
        <f t="shared" si="119"/>
        <v>70.539995279510279</v>
      </c>
      <c r="BS121" s="64">
        <v>69183.097091893593</v>
      </c>
      <c r="BT121" s="64">
        <v>-10.6913487928745</v>
      </c>
      <c r="BU121" s="64">
        <v>-128.47325735015099</v>
      </c>
      <c r="BV121" s="186">
        <v>57543.993733715834</v>
      </c>
      <c r="BW121" s="64">
        <v>-8.6863474085830745</v>
      </c>
      <c r="BX121" s="64">
        <v>-123.93561252900197</v>
      </c>
      <c r="BZ121" s="64">
        <v>69183.097091893593</v>
      </c>
      <c r="CA121" s="64">
        <v>-14.244199057478401</v>
      </c>
      <c r="CB121" s="64">
        <v>-112.878881274138</v>
      </c>
      <c r="CC121" s="186">
        <v>57543.993733715834</v>
      </c>
      <c r="CD121" s="64">
        <v>-12.099539244226321</v>
      </c>
      <c r="CE121" s="64">
        <v>-106.03680443367249</v>
      </c>
      <c r="CG121" s="64">
        <v>69183.097091893593</v>
      </c>
      <c r="CH121" s="64">
        <v>-26.3603084284806</v>
      </c>
      <c r="CI121" s="64">
        <v>-167.07227440915199</v>
      </c>
      <c r="CJ121" s="64">
        <v>57543.993733715834</v>
      </c>
      <c r="CK121" s="64">
        <v>-22.645779859630416</v>
      </c>
      <c r="CL121" s="64">
        <v>-167.53944590591993</v>
      </c>
      <c r="CN121" s="64">
        <v>69183.097091893593</v>
      </c>
      <c r="CO121" s="64">
        <v>-15.2958732882283</v>
      </c>
      <c r="CP121" s="64">
        <v>-120.504265156996</v>
      </c>
      <c r="CQ121" s="186">
        <v>57543.993733715834</v>
      </c>
      <c r="CR121" s="64">
        <v>-13.755696376830095</v>
      </c>
      <c r="CS121" s="64">
        <v>-117.76392797393859</v>
      </c>
      <c r="CU121" s="64">
        <v>69183.097091893593</v>
      </c>
      <c r="CV121" s="64">
        <v>-14.9034915125974</v>
      </c>
      <c r="CW121" s="64">
        <v>-118.250491675804</v>
      </c>
      <c r="CX121" s="139">
        <v>57543.993733715834</v>
      </c>
      <c r="CY121" s="64">
        <v>-12.643476001964935</v>
      </c>
      <c r="CZ121" s="64">
        <v>-110.09471873816571</v>
      </c>
    </row>
    <row r="122" spans="2:104">
      <c r="B122" s="135">
        <f t="shared" si="58"/>
        <v>4.8000000000000007</v>
      </c>
      <c r="C122" s="139">
        <f t="shared" si="92"/>
        <v>63095.734448019459</v>
      </c>
      <c r="D122" s="139">
        <f t="shared" si="93"/>
        <v>396442.19162950077</v>
      </c>
      <c r="E122" s="32" t="str">
        <f t="shared" si="94"/>
        <v>396442.191629501i</v>
      </c>
      <c r="F122"/>
      <c r="G122" s="153" t="str">
        <f t="shared" si="75"/>
        <v>0.04+0.0206031466080963i</v>
      </c>
      <c r="H122" s="153" t="str">
        <f t="shared" si="76"/>
        <v>1+10.5613976655371i</v>
      </c>
      <c r="I122" t="str">
        <f t="shared" si="52"/>
        <v>0.00228888290108342-0.00357065592009396i</v>
      </c>
      <c r="J122"/>
      <c r="K122" t="str">
        <f t="shared" si="53"/>
        <v>0.04+0.0206031466080963i</v>
      </c>
      <c r="L122" t="str">
        <f t="shared" si="77"/>
        <v>5.43580907071529+57.4097412297578i</v>
      </c>
      <c r="M122" t="str">
        <f t="shared" si="54"/>
        <v>0.000421074925794301-0.000656876625658249i</v>
      </c>
      <c r="N122" s="153" t="str">
        <f t="shared" si="78"/>
        <v>0.0011+0.0872172821584902i</v>
      </c>
      <c r="O122" s="135" t="str">
        <f t="shared" si="79"/>
        <v>0.000242+0.0191878020748678i</v>
      </c>
      <c r="Q122" s="135" t="str">
        <f t="shared" si="80"/>
        <v>-0.396442191629501i</v>
      </c>
      <c r="R122" s="135" t="str">
        <f t="shared" si="81"/>
        <v>-0.0636971472885599</v>
      </c>
      <c r="S122" s="64" t="str">
        <f t="shared" si="55"/>
        <v>0.93630285271144-0.396442191629501i</v>
      </c>
      <c r="T122" s="135" t="str">
        <f t="shared" si="82"/>
        <v>0.0093630285271144-0.00396442191629501i</v>
      </c>
      <c r="U122" s="64" t="str">
        <f t="shared" si="56"/>
        <v>0.0100261034529087+0.0145665035329145i</v>
      </c>
      <c r="W122" s="64" t="str">
        <f t="shared" si="57"/>
        <v>-0.0929416646018992-0.221104923236386i</v>
      </c>
      <c r="X122" s="172">
        <f t="shared" si="95"/>
        <v>0.23984482503973287</v>
      </c>
      <c r="Y122" s="188">
        <f t="shared" si="96"/>
        <v>-12.401392951169001</v>
      </c>
      <c r="Z122" s="161">
        <f t="shared" si="97"/>
        <v>-112.79949639026131</v>
      </c>
      <c r="AA122" s="161">
        <f t="shared" si="83"/>
        <v>-112.79949639026131</v>
      </c>
      <c r="AB122" s="199"/>
      <c r="AC122" s="64" t="str">
        <f t="shared" si="84"/>
        <v>-252243.58585288i</v>
      </c>
      <c r="AD122" s="64" t="str">
        <f t="shared" si="85"/>
        <v>22000-25224.358585288i</v>
      </c>
      <c r="AE122" s="64" t="str">
        <f t="shared" si="98"/>
        <v>18068.2294306886-24363.8367724079i</v>
      </c>
      <c r="AF122" s="64" t="str">
        <f t="shared" si="86"/>
        <v>10000</v>
      </c>
      <c r="AG122" s="64" t="str">
        <f t="shared" si="87"/>
        <v>-6467.78425263796i</v>
      </c>
      <c r="AH122" s="64" t="str">
        <f t="shared" si="99"/>
        <v>2949.41651928808-4560.16528084579i</v>
      </c>
      <c r="AI122" s="64" t="str">
        <f t="shared" si="100"/>
        <v>5.57377555322601+0.357189627762271i</v>
      </c>
      <c r="AJ122" s="161">
        <f t="shared" si="101"/>
        <v>5.5852088902672978</v>
      </c>
      <c r="AK122" s="161">
        <f t="shared" si="102"/>
        <v>14.940788412752879</v>
      </c>
      <c r="AL122" s="161">
        <f t="shared" si="103"/>
        <v>3.6667266657850424</v>
      </c>
      <c r="AN122" s="64" t="str">
        <f t="shared" si="104"/>
        <v>-0.439059592806987-1.26558701441564i</v>
      </c>
      <c r="AO122" s="161">
        <f t="shared" si="105"/>
        <v>1.3395834490965208</v>
      </c>
      <c r="AP122" s="161">
        <f t="shared" si="106"/>
        <v>2.5393954615838776</v>
      </c>
      <c r="AQ122" s="161">
        <f t="shared" si="107"/>
        <v>-109.13276972447628</v>
      </c>
      <c r="AR122" s="64">
        <f t="shared" si="108"/>
        <v>70.867230275523724</v>
      </c>
      <c r="AT122" s="135" t="str">
        <f t="shared" si="88"/>
        <v>-78937.8191615956i</v>
      </c>
      <c r="AU122" s="135" t="str">
        <f t="shared" si="89"/>
        <v>27456.1383070198-14129.2858349188i</v>
      </c>
      <c r="AV122" s="135" t="str">
        <f t="shared" si="109"/>
        <v>18170.8130392102-17344.8541902676i</v>
      </c>
      <c r="AW122" s="135" t="str">
        <f t="shared" si="90"/>
        <v>10000</v>
      </c>
      <c r="AX122" s="135" t="str">
        <f t="shared" si="91"/>
        <v>1789.92604368691-6067.24926794292i</v>
      </c>
      <c r="AY122" s="135" t="str">
        <f t="shared" si="110"/>
        <v>3294.08649190382-3450.95030046192i</v>
      </c>
      <c r="AZ122" s="135" t="str">
        <f t="shared" si="111"/>
        <v>5.25975940360549+0.244776239465458i</v>
      </c>
      <c r="BA122" s="182">
        <f t="shared" si="112"/>
        <v>5.2654519645727698</v>
      </c>
      <c r="BB122" s="182">
        <f t="shared" si="113"/>
        <v>14.428713103195738</v>
      </c>
      <c r="BC122" s="182">
        <f t="shared" si="114"/>
        <v>2.6644819502663979</v>
      </c>
      <c r="BE122" s="135" t="str">
        <f t="shared" si="115"/>
        <v>-0.434729562739486-1.18570861032696i</v>
      </c>
      <c r="BF122" s="161">
        <f t="shared" si="116"/>
        <v>1.26289140519807</v>
      </c>
      <c r="BG122" s="161">
        <f t="shared" si="117"/>
        <v>2.0273201520267099</v>
      </c>
      <c r="BH122" s="161">
        <f t="shared" si="118"/>
        <v>-110.13501443999498</v>
      </c>
      <c r="BI122" s="64">
        <f t="shared" si="119"/>
        <v>69.864985560005024</v>
      </c>
      <c r="BS122" s="64">
        <v>75857.757502918306</v>
      </c>
      <c r="BT122" s="64">
        <v>-11.9144591218898</v>
      </c>
      <c r="BU122" s="64">
        <v>-130.75207479374501</v>
      </c>
      <c r="BV122" s="186">
        <v>63095.734448019459</v>
      </c>
      <c r="BW122" s="64">
        <v>-9.8788910334763962</v>
      </c>
      <c r="BX122" s="64">
        <v>-126.05092728013862</v>
      </c>
      <c r="BZ122" s="64">
        <v>75857.757502918306</v>
      </c>
      <c r="CA122" s="64">
        <v>-15.2644740109192</v>
      </c>
      <c r="CB122" s="64">
        <v>-115.575711570149</v>
      </c>
      <c r="CC122" s="186">
        <v>63095.734448019459</v>
      </c>
      <c r="CD122" s="64">
        <v>-13.042266607930024</v>
      </c>
      <c r="CE122" s="64">
        <v>-108.61213049026824</v>
      </c>
      <c r="CG122" s="64">
        <v>75857.757502918306</v>
      </c>
      <c r="CH122" s="64">
        <v>-27.940216877953599</v>
      </c>
      <c r="CI122" s="64">
        <v>-167.20997335207099</v>
      </c>
      <c r="CJ122" s="64">
        <v>63095.734448019459</v>
      </c>
      <c r="CK122" s="64">
        <v>-24.262799533066982</v>
      </c>
      <c r="CL122" s="64">
        <v>-168.19089563384276</v>
      </c>
      <c r="CN122" s="64">
        <v>75857.757502918306</v>
      </c>
      <c r="CO122" s="64">
        <v>-16.3540316569248</v>
      </c>
      <c r="CP122" s="64">
        <v>-123.07632201214</v>
      </c>
      <c r="CQ122" s="186">
        <v>63095.734448019459</v>
      </c>
      <c r="CR122" s="64">
        <v>-14.847563296384003</v>
      </c>
      <c r="CS122" s="64">
        <v>-120.27748750063508</v>
      </c>
      <c r="CU122" s="64">
        <v>75857.757502918306</v>
      </c>
      <c r="CV122" s="64">
        <v>-16.019499426005201</v>
      </c>
      <c r="CW122" s="64">
        <v>-121.31206356021001</v>
      </c>
      <c r="CX122" s="139">
        <v>63095.734448019459</v>
      </c>
      <c r="CY122" s="64">
        <v>-13.658938042068003</v>
      </c>
      <c r="CZ122" s="64">
        <v>-113.04785953660799</v>
      </c>
    </row>
    <row r="123" spans="2:104">
      <c r="B123" s="135">
        <f t="shared" si="58"/>
        <v>4.8400000000000007</v>
      </c>
      <c r="C123" s="139">
        <f t="shared" si="92"/>
        <v>69183.097091893884</v>
      </c>
      <c r="D123" s="139">
        <f t="shared" si="93"/>
        <v>434690.2191529664</v>
      </c>
      <c r="E123" s="32" t="str">
        <f t="shared" si="94"/>
        <v>434690.219152966i</v>
      </c>
      <c r="F123"/>
      <c r="G123" s="153" t="str">
        <f t="shared" si="75"/>
        <v>0.04+0.0214587772548396i</v>
      </c>
      <c r="H123" s="153" t="str">
        <f t="shared" si="76"/>
        <v>1+11.2377425953194i</v>
      </c>
      <c r="I123" t="str">
        <f t="shared" si="52"/>
        <v>0.00220877644563694-0.00336288389183281i</v>
      </c>
      <c r="J123"/>
      <c r="K123" t="str">
        <f t="shared" si="53"/>
        <v>0.04+0.0214587772548396i</v>
      </c>
      <c r="L123" t="str">
        <f t="shared" si="77"/>
        <v>5.43580907071529+61.0862231340007i</v>
      </c>
      <c r="M123" t="str">
        <f t="shared" si="54"/>
        <v>0.000406338121317843-0.000618653791567094i</v>
      </c>
      <c r="N123" s="153" t="str">
        <f t="shared" si="78"/>
        <v>0.0011+0.0956318482136525i</v>
      </c>
      <c r="O123" s="135" t="str">
        <f t="shared" si="79"/>
        <v>0.000242+0.0210390066070035i</v>
      </c>
      <c r="Q123" s="135" t="str">
        <f t="shared" si="80"/>
        <v>-0.434690219152966i</v>
      </c>
      <c r="R123" s="135" t="str">
        <f t="shared" si="81"/>
        <v>-0.0765808147716227</v>
      </c>
      <c r="S123" s="64" t="str">
        <f t="shared" si="55"/>
        <v>0.923419185228377-0.434690219152966i</v>
      </c>
      <c r="T123" s="135" t="str">
        <f t="shared" si="82"/>
        <v>0.00923419185228377-0.00434690219152966i</v>
      </c>
      <c r="U123" s="64" t="str">
        <f t="shared" si="56"/>
        <v>0.00988252997360161+0.0160734506239067i</v>
      </c>
      <c r="W123" s="64" t="str">
        <f t="shared" si="57"/>
        <v>-0.0905140987108458-0.193068981377575i</v>
      </c>
      <c r="X123" s="172">
        <f t="shared" si="95"/>
        <v>0.21323328453975271</v>
      </c>
      <c r="Y123" s="188">
        <f t="shared" si="96"/>
        <v>-13.422900067609785</v>
      </c>
      <c r="Z123" s="161">
        <f t="shared" si="97"/>
        <v>-115.11800107529155</v>
      </c>
      <c r="AA123" s="161">
        <f t="shared" si="83"/>
        <v>-115.11800107529155</v>
      </c>
      <c r="AB123" s="199"/>
      <c r="AC123" s="64" t="str">
        <f t="shared" si="84"/>
        <v>-230048.88445583i</v>
      </c>
      <c r="AD123" s="64" t="str">
        <f t="shared" si="85"/>
        <v>22000-23004.888445583i</v>
      </c>
      <c r="AE123" s="64" t="str">
        <f t="shared" si="98"/>
        <v>18045.4268134393-22482.3690577785i</v>
      </c>
      <c r="AF123" s="64" t="str">
        <f t="shared" si="86"/>
        <v>10000</v>
      </c>
      <c r="AG123" s="64" t="str">
        <f t="shared" si="87"/>
        <v>-5898.68934502127i</v>
      </c>
      <c r="AH123" s="64" t="str">
        <f t="shared" si="99"/>
        <v>2581.30166284259-4376.05968353175i</v>
      </c>
      <c r="AI123" s="64" t="str">
        <f t="shared" si="100"/>
        <v>5.61596039513733+0.810989603356819i</v>
      </c>
      <c r="AJ123" s="161">
        <f t="shared" si="101"/>
        <v>5.6742149497973626</v>
      </c>
      <c r="AK123" s="161">
        <f t="shared" si="102"/>
        <v>15.078115673055304</v>
      </c>
      <c r="AL123" s="161">
        <f t="shared" si="103"/>
        <v>8.2171637480805</v>
      </c>
      <c r="AN123" s="64" t="str">
        <f t="shared" si="104"/>
        <v>-0.351746656933756-1.15767374595768i</v>
      </c>
      <c r="AO123" s="161">
        <f t="shared" si="105"/>
        <v>1.2099314909298626</v>
      </c>
      <c r="AP123" s="161">
        <f t="shared" si="106"/>
        <v>1.6552156054455394</v>
      </c>
      <c r="AQ123" s="161">
        <f t="shared" si="107"/>
        <v>-106.90083732721098</v>
      </c>
      <c r="AR123" s="64">
        <f t="shared" si="108"/>
        <v>73.099162672789021</v>
      </c>
      <c r="AT123" s="135" t="str">
        <f t="shared" si="88"/>
        <v>-71992.1467104917i</v>
      </c>
      <c r="AU123" s="135" t="str">
        <f t="shared" si="89"/>
        <v>27456.1383070198-12886.0618338038i</v>
      </c>
      <c r="AV123" s="135" t="str">
        <f t="shared" si="109"/>
        <v>17881.2382947153-16713.8895849787i</v>
      </c>
      <c r="AW123" s="135" t="str">
        <f t="shared" si="90"/>
        <v>10000</v>
      </c>
      <c r="AX123" s="135" t="str">
        <f t="shared" si="91"/>
        <v>1789.92604368691-5533.39709743815i</v>
      </c>
      <c r="AY123" s="135" t="str">
        <f t="shared" si="110"/>
        <v>3049.24673482399-3262.21536929219i</v>
      </c>
      <c r="AZ123" s="135" t="str">
        <f t="shared" si="111"/>
        <v>5.4688496665158+0.369493172399061i</v>
      </c>
      <c r="BA123" s="182">
        <f t="shared" si="112"/>
        <v>5.4813175313422144</v>
      </c>
      <c r="BB123" s="182">
        <f t="shared" si="113"/>
        <v>14.777699227415034</v>
      </c>
      <c r="BC123" s="182">
        <f t="shared" si="114"/>
        <v>3.8652140308968113</v>
      </c>
      <c r="BE123" s="135" t="str">
        <f t="shared" si="115"/>
        <v>-0.423670328128732-1.08930957590081i</v>
      </c>
      <c r="BF123" s="161">
        <f t="shared" si="116"/>
        <v>1.1687993408134307</v>
      </c>
      <c r="BG123" s="161">
        <f t="shared" si="117"/>
        <v>1.3547991598052604</v>
      </c>
      <c r="BH123" s="161">
        <f t="shared" si="118"/>
        <v>-111.25278704439471</v>
      </c>
      <c r="BI123" s="64">
        <f t="shared" si="119"/>
        <v>68.747212955605292</v>
      </c>
      <c r="BS123" s="64">
        <v>83176.377110267</v>
      </c>
      <c r="BT123" s="64">
        <v>-13.172442346427299</v>
      </c>
      <c r="BU123" s="64">
        <v>-133.02770194992101</v>
      </c>
      <c r="BV123" s="186">
        <v>69183.097091893884</v>
      </c>
      <c r="BW123" s="64">
        <v>-11.089776572057016</v>
      </c>
      <c r="BX123" s="64">
        <v>-128.15684655940609</v>
      </c>
      <c r="BZ123" s="64">
        <v>83176.377110267</v>
      </c>
      <c r="CA123" s="64">
        <v>-16.317673756252098</v>
      </c>
      <c r="CB123" s="64">
        <v>-118.302798784084</v>
      </c>
      <c r="CC123" s="186">
        <v>69183.097091893884</v>
      </c>
      <c r="CD123" s="64">
        <v>-14.01374883194727</v>
      </c>
      <c r="CE123" s="64">
        <v>-111.24502128705051</v>
      </c>
      <c r="CG123" s="64">
        <v>83176.377110267</v>
      </c>
      <c r="CH123" s="64">
        <v>-29.508299591914199</v>
      </c>
      <c r="CI123" s="64">
        <v>-167.21605758933501</v>
      </c>
      <c r="CJ123" s="64">
        <v>69183.097091893884</v>
      </c>
      <c r="CK123" s="64">
        <v>-25.880372218966841</v>
      </c>
      <c r="CL123" s="64">
        <v>-168.73502378838805</v>
      </c>
      <c r="CN123" s="64">
        <v>83176.377110267</v>
      </c>
      <c r="CO123" s="64">
        <v>-17.427090723314201</v>
      </c>
      <c r="CP123" s="64">
        <v>-125.682139599187</v>
      </c>
      <c r="CQ123" s="186">
        <v>69183.097091893884</v>
      </c>
      <c r="CR123" s="64">
        <v>-15.962839760273354</v>
      </c>
      <c r="CS123" s="64">
        <v>-122.7739911531215</v>
      </c>
      <c r="CU123" s="64">
        <v>83176.377110267</v>
      </c>
      <c r="CV123" s="64">
        <v>-17.175989979264301</v>
      </c>
      <c r="CW123" s="64">
        <v>-124.336304274132</v>
      </c>
      <c r="CX123" s="139">
        <v>69183.097091893884</v>
      </c>
      <c r="CY123" s="64">
        <v>-14.709934917390161</v>
      </c>
      <c r="CZ123" s="64">
        <v>-116.00740416624818</v>
      </c>
    </row>
    <row r="124" spans="2:104">
      <c r="B124" s="135">
        <f t="shared" si="58"/>
        <v>4.8800000000000008</v>
      </c>
      <c r="C124" s="139">
        <f t="shared" si="92"/>
        <v>75857.757502918612</v>
      </c>
      <c r="D124" s="139">
        <f t="shared" si="93"/>
        <v>476628.34737793024</v>
      </c>
      <c r="E124" s="32" t="str">
        <f t="shared" si="94"/>
        <v>476628.34737793i</v>
      </c>
      <c r="F124"/>
      <c r="G124" s="153" t="str">
        <f t="shared" si="75"/>
        <v>0.04+0.0221971938021042i</v>
      </c>
      <c r="H124" s="153" t="str">
        <f t="shared" si="76"/>
        <v>1+11.9195118130801i</v>
      </c>
      <c r="I124" t="str">
        <f t="shared" si="52"/>
        <v>0.00212881510181966-0.00317724295189856i</v>
      </c>
      <c r="J124"/>
      <c r="K124" t="str">
        <f t="shared" si="53"/>
        <v>0.04+0.0221971938021042i</v>
      </c>
      <c r="L124" t="str">
        <f t="shared" si="77"/>
        <v>5.43580907071529+64.7921904320388i</v>
      </c>
      <c r="M124" t="str">
        <f t="shared" si="54"/>
        <v>0.000391628012339207-0.000584502308775991i</v>
      </c>
      <c r="N124" s="153" t="str">
        <f t="shared" si="78"/>
        <v>0.0011+0.104858236423145i</v>
      </c>
      <c r="O124" s="135" t="str">
        <f t="shared" si="79"/>
        <v>0.000242+0.0230688120130919i</v>
      </c>
      <c r="Q124" s="135" t="str">
        <f t="shared" si="80"/>
        <v>-0.47662834737793i</v>
      </c>
      <c r="R124" s="135" t="str">
        <f t="shared" si="81"/>
        <v>-0.0920703899739457</v>
      </c>
      <c r="S124" s="64" t="str">
        <f t="shared" si="55"/>
        <v>0.907929610026054-0.47662834737793i</v>
      </c>
      <c r="T124" s="135" t="str">
        <f t="shared" si="82"/>
        <v>0.00907929610026054-0.0047662834737793i</v>
      </c>
      <c r="U124" s="64" t="str">
        <f t="shared" si="56"/>
        <v>0.00971292411259975+0.0177180262305366i</v>
      </c>
      <c r="W124" s="64" t="str">
        <f t="shared" si="57"/>
        <v>-0.0872400893554416-0.167974210591026i</v>
      </c>
      <c r="X124" s="172">
        <f t="shared" si="95"/>
        <v>0.18927801936417177</v>
      </c>
      <c r="Y124" s="188">
        <f t="shared" si="96"/>
        <v>-14.457996344402291</v>
      </c>
      <c r="Z124" s="161">
        <f t="shared" si="97"/>
        <v>-117.44582922783106</v>
      </c>
      <c r="AA124" s="161">
        <f t="shared" si="83"/>
        <v>-117.44582922783106</v>
      </c>
      <c r="AB124" s="199"/>
      <c r="AC124" s="64" t="str">
        <f t="shared" si="84"/>
        <v>-209807.076205452i</v>
      </c>
      <c r="AD124" s="64" t="str">
        <f t="shared" si="85"/>
        <v>22000-20980.7076205452i</v>
      </c>
      <c r="AE124" s="64" t="str">
        <f t="shared" si="98"/>
        <v>18018.088116707-20790.9568765272i</v>
      </c>
      <c r="AF124" s="64" t="str">
        <f t="shared" si="86"/>
        <v>10000</v>
      </c>
      <c r="AG124" s="64" t="str">
        <f t="shared" si="87"/>
        <v>-5379.66862065261i</v>
      </c>
      <c r="AH124" s="64" t="str">
        <f t="shared" si="99"/>
        <v>2244.50497683176-4172.19932137657i</v>
      </c>
      <c r="AI124" s="64" t="str">
        <f t="shared" si="100"/>
        <v>5.66653698409204+1.27019762151792i</v>
      </c>
      <c r="AJ124" s="161">
        <f t="shared" si="101"/>
        <v>5.8071545002516238</v>
      </c>
      <c r="AK124" s="161">
        <f t="shared" si="102"/>
        <v>15.279267613189784</v>
      </c>
      <c r="AL124" s="161">
        <f t="shared" si="103"/>
        <v>12.634437772411049</v>
      </c>
      <c r="AN124" s="64" t="str">
        <f t="shared" si="104"/>
        <v>-0.280988750059033-1.06264423068801i</v>
      </c>
      <c r="AO124" s="161">
        <f t="shared" si="105"/>
        <v>1.0991667019493676</v>
      </c>
      <c r="AP124" s="161">
        <f t="shared" si="106"/>
        <v>0.82127126878752343</v>
      </c>
      <c r="AQ124" s="161">
        <f t="shared" si="107"/>
        <v>-104.81139145541998</v>
      </c>
      <c r="AR124" s="64">
        <f t="shared" si="108"/>
        <v>75.188608544580021</v>
      </c>
      <c r="AT124" s="135" t="str">
        <f t="shared" si="88"/>
        <v>-65657.6181484694i</v>
      </c>
      <c r="AU124" s="135" t="str">
        <f t="shared" si="89"/>
        <v>27456.1383070198-11752.2280690396i</v>
      </c>
      <c r="AV124" s="135" t="str">
        <f t="shared" si="109"/>
        <v>17545.081638389-16191.0086670447i</v>
      </c>
      <c r="AW124" s="135" t="str">
        <f t="shared" si="90"/>
        <v>10000</v>
      </c>
      <c r="AX124" s="135" t="str">
        <f t="shared" si="91"/>
        <v>1789.92604368691-5046.51813132412i</v>
      </c>
      <c r="AY124" s="135" t="str">
        <f t="shared" si="110"/>
        <v>2831.55137644829-3068.35732626075i</v>
      </c>
      <c r="AZ124" s="135" t="str">
        <f t="shared" si="111"/>
        <v>5.69967593950016+0.458276607666721i</v>
      </c>
      <c r="BA124" s="182">
        <f t="shared" si="112"/>
        <v>5.7180698897837496</v>
      </c>
      <c r="BB124" s="182">
        <f t="shared" si="113"/>
        <v>15.144989185398925</v>
      </c>
      <c r="BC124" s="182">
        <f t="shared" si="114"/>
        <v>4.5969194490198451</v>
      </c>
      <c r="BE124" s="135" t="str">
        <f t="shared" si="115"/>
        <v>-0.420261586853904-0.997378658764557i</v>
      </c>
      <c r="BF124" s="161">
        <f t="shared" si="116"/>
        <v>1.0823049433241763</v>
      </c>
      <c r="BG124" s="161">
        <f t="shared" si="117"/>
        <v>0.68699284099663727</v>
      </c>
      <c r="BH124" s="161">
        <f t="shared" si="118"/>
        <v>-112.84890977881122</v>
      </c>
      <c r="BI124" s="64">
        <f t="shared" si="119"/>
        <v>67.151090221188781</v>
      </c>
      <c r="BS124" s="64">
        <v>91201.083935590897</v>
      </c>
      <c r="BT124" s="64">
        <v>-14.464526821927</v>
      </c>
      <c r="BU124" s="64">
        <v>-135.299128349819</v>
      </c>
      <c r="BV124" s="186">
        <v>75857.757502918612</v>
      </c>
      <c r="BW124" s="64">
        <v>-12.323777163916802</v>
      </c>
      <c r="BX124" s="64">
        <v>-130.259303400297</v>
      </c>
      <c r="BZ124" s="64">
        <v>91201.083935590897</v>
      </c>
      <c r="CA124" s="64">
        <v>-17.4061372746561</v>
      </c>
      <c r="CB124" s="64">
        <v>-121.04807531743801</v>
      </c>
      <c r="CC124" s="186">
        <v>75857.757502918612</v>
      </c>
      <c r="CD124" s="64">
        <v>-15.016975563760811</v>
      </c>
      <c r="CE124" s="64">
        <v>-113.92968646000678</v>
      </c>
      <c r="CG124" s="64">
        <v>91201.083935590897</v>
      </c>
      <c r="CH124" s="64">
        <v>-31.062229871629999</v>
      </c>
      <c r="CI124" s="64">
        <v>-167.07717372485899</v>
      </c>
      <c r="CJ124" s="64">
        <v>75857.757502918612</v>
      </c>
      <c r="CK124" s="64">
        <v>-27.499062578772136</v>
      </c>
      <c r="CL124" s="64">
        <v>-169.1772610923239</v>
      </c>
      <c r="CN124" s="64">
        <v>91201.083935590897</v>
      </c>
      <c r="CO124" s="64">
        <v>-18.5147579005525</v>
      </c>
      <c r="CP124" s="64">
        <v>-128.33774106019101</v>
      </c>
      <c r="CQ124" s="186">
        <v>75857.757502918612</v>
      </c>
      <c r="CR124" s="64">
        <v>-17.102567112785856</v>
      </c>
      <c r="CS124" s="64">
        <v>-125.25786361402751</v>
      </c>
      <c r="CU124" s="64">
        <v>91201.083935590897</v>
      </c>
      <c r="CV124" s="64">
        <v>-18.373900312739</v>
      </c>
      <c r="CW124" s="64">
        <v>-127.303630857854</v>
      </c>
      <c r="CX124" s="139">
        <v>75857.757502918612</v>
      </c>
      <c r="CY124" s="64">
        <v>-15.798522453942867</v>
      </c>
      <c r="CZ124" s="64">
        <v>-118.96101952146913</v>
      </c>
    </row>
    <row r="125" spans="2:104">
      <c r="B125" s="135">
        <f t="shared" si="58"/>
        <v>4.9200000000000008</v>
      </c>
      <c r="C125" s="139">
        <f t="shared" si="92"/>
        <v>83176.377110267335</v>
      </c>
      <c r="D125" s="139">
        <f t="shared" si="93"/>
        <v>522612.59056366014</v>
      </c>
      <c r="E125" s="32" t="str">
        <f t="shared" si="94"/>
        <v>522612.59056366i</v>
      </c>
      <c r="F125"/>
      <c r="G125" s="153" t="str">
        <f t="shared" si="75"/>
        <v>0.04+0.0227951281369707i</v>
      </c>
      <c r="H125" s="153" t="str">
        <f t="shared" si="76"/>
        <v>1+12.6040105212016i</v>
      </c>
      <c r="I125" t="str">
        <f t="shared" si="52"/>
        <v>0.0020474654141931-0.00301114748531555i</v>
      </c>
      <c r="J125"/>
      <c r="K125" t="str">
        <f t="shared" si="53"/>
        <v>0.04+0.0227951281369707i</v>
      </c>
      <c r="L125" t="str">
        <f t="shared" si="77"/>
        <v>5.43580907071529+68.5129947185386i</v>
      </c>
      <c r="M125" t="str">
        <f t="shared" si="54"/>
        <v>0.000376662496338136-0.000553946513967481i</v>
      </c>
      <c r="N125" s="153" t="str">
        <f t="shared" si="78"/>
        <v>0.0011+0.114974769924005i</v>
      </c>
      <c r="O125" s="135" t="str">
        <f t="shared" si="79"/>
        <v>0.000242+0.0252944493832811i</v>
      </c>
      <c r="Q125" s="135" t="str">
        <f t="shared" si="80"/>
        <v>-0.52261259056366i</v>
      </c>
      <c r="R125" s="135" t="str">
        <f t="shared" si="81"/>
        <v>-0.11069295534703</v>
      </c>
      <c r="S125" s="64" t="str">
        <f t="shared" si="55"/>
        <v>0.88930704465297-0.52261259056366i</v>
      </c>
      <c r="T125" s="135" t="str">
        <f t="shared" si="82"/>
        <v>0.0088930704465297-0.0052261259056366i</v>
      </c>
      <c r="U125" s="64" t="str">
        <f t="shared" si="56"/>
        <v>0.00951173294286783+0.019514376963677i</v>
      </c>
      <c r="W125" s="64" t="str">
        <f t="shared" si="57"/>
        <v>-0.0833589199677668-0.14555182594962i</v>
      </c>
      <c r="X125" s="172">
        <f t="shared" si="95"/>
        <v>0.16773205887802434</v>
      </c>
      <c r="Y125" s="188">
        <f t="shared" si="96"/>
        <v>-15.507678442192425</v>
      </c>
      <c r="Z125" s="161">
        <f t="shared" si="97"/>
        <v>-119.80017882335306</v>
      </c>
      <c r="AA125" s="161">
        <f t="shared" si="83"/>
        <v>-119.80017882335306</v>
      </c>
      <c r="AB125" s="199"/>
      <c r="AC125" s="64" t="str">
        <f t="shared" si="84"/>
        <v>-191346.327672944i</v>
      </c>
      <c r="AD125" s="64" t="str">
        <f t="shared" si="85"/>
        <v>22000-19134.6327672944i</v>
      </c>
      <c r="AE125" s="64" t="str">
        <f t="shared" si="98"/>
        <v>17985.3292370028-19274.9925984785i</v>
      </c>
      <c r="AF125" s="64" t="str">
        <f t="shared" si="86"/>
        <v>10000</v>
      </c>
      <c r="AG125" s="64" t="str">
        <f t="shared" si="87"/>
        <v>-4906.31609417804i</v>
      </c>
      <c r="AH125" s="64" t="str">
        <f t="shared" si="99"/>
        <v>1940.15972334489-3954.41240658573i</v>
      </c>
      <c r="AI125" s="64" t="str">
        <f t="shared" si="100"/>
        <v>5.72714091154491+1.73825094698139i</v>
      </c>
      <c r="AJ125" s="161">
        <f t="shared" si="101"/>
        <v>5.9851198296586485</v>
      </c>
      <c r="AK125" s="161">
        <f t="shared" si="102"/>
        <v>15.541456999070975</v>
      </c>
      <c r="AL125" s="161">
        <f t="shared" si="103"/>
        <v>16.883627161489187</v>
      </c>
      <c r="AN125" s="64" t="str">
        <f t="shared" si="104"/>
        <v>-0.224402681597798-0.978494538719449i</v>
      </c>
      <c r="AO125" s="161">
        <f t="shared" si="105"/>
        <v>1.0038964716603351</v>
      </c>
      <c r="AP125" s="161">
        <f t="shared" si="106"/>
        <v>3.3778556878547666E-2</v>
      </c>
      <c r="AQ125" s="161">
        <f t="shared" si="107"/>
        <v>-102.91655166186388</v>
      </c>
      <c r="AR125" s="64">
        <f t="shared" si="108"/>
        <v>77.083448338136122</v>
      </c>
      <c r="AT125" s="135" t="str">
        <f t="shared" si="88"/>
        <v>-59880.4594376954i</v>
      </c>
      <c r="AU125" s="135" t="str">
        <f t="shared" si="89"/>
        <v>27456.1383070198-10718.1593855469i</v>
      </c>
      <c r="AV125" s="135" t="str">
        <f t="shared" si="109"/>
        <v>17157.2949109228-15763.500602865i</v>
      </c>
      <c r="AW125" s="135" t="str">
        <f t="shared" si="90"/>
        <v>10000</v>
      </c>
      <c r="AX125" s="135" t="str">
        <f t="shared" si="91"/>
        <v>1789.92604368691-4602.47923677373i</v>
      </c>
      <c r="AY125" s="135" t="str">
        <f t="shared" si="110"/>
        <v>2639.81431465794-2873.22428232915i</v>
      </c>
      <c r="AZ125" s="135" t="str">
        <f t="shared" si="111"/>
        <v>5.95007376021772+0.504730881730493i</v>
      </c>
      <c r="BA125" s="182">
        <f t="shared" si="112"/>
        <v>5.9714429592020606</v>
      </c>
      <c r="BB125" s="182">
        <f t="shared" si="113"/>
        <v>15.521585763283385</v>
      </c>
      <c r="BC125" s="182">
        <f t="shared" si="114"/>
        <v>4.8486597095938606</v>
      </c>
      <c r="BE125" s="135" t="str">
        <f t="shared" si="115"/>
        <v>-0.422527220931263-0.908117921510043i</v>
      </c>
      <c r="BF125" s="161">
        <f t="shared" si="116"/>
        <v>1.001602422019644</v>
      </c>
      <c r="BG125" s="161">
        <f t="shared" si="117"/>
        <v>1.3907321090960286E-2</v>
      </c>
      <c r="BH125" s="161">
        <f t="shared" si="118"/>
        <v>-114.95151911375919</v>
      </c>
      <c r="BI125" s="64">
        <f t="shared" si="119"/>
        <v>65.04848088624081</v>
      </c>
      <c r="BS125" s="64">
        <v>100000</v>
      </c>
      <c r="BT125" s="64">
        <v>-15.7956535764097</v>
      </c>
      <c r="BU125" s="64">
        <v>-137.552022403553</v>
      </c>
      <c r="BV125" s="186">
        <v>83176.377110267335</v>
      </c>
      <c r="BW125" s="64">
        <v>-13.585904661550703</v>
      </c>
      <c r="BX125" s="64">
        <v>-132.35614779302321</v>
      </c>
      <c r="BZ125" s="64">
        <v>100000</v>
      </c>
      <c r="CA125" s="64">
        <v>-18.531991100849702</v>
      </c>
      <c r="CB125" s="64">
        <v>-123.79594756936299</v>
      </c>
      <c r="CC125" s="186">
        <v>83176.377110267335</v>
      </c>
      <c r="CD125" s="64">
        <v>-16.054936614174004</v>
      </c>
      <c r="CE125" s="64">
        <v>-116.65623153113526</v>
      </c>
      <c r="CG125" s="64">
        <v>100000</v>
      </c>
      <c r="CH125" s="64">
        <v>-32.596203851061802</v>
      </c>
      <c r="CI125" s="64">
        <v>-166.78344851492699</v>
      </c>
      <c r="CJ125" s="64">
        <v>83176.377110267335</v>
      </c>
      <c r="CK125" s="64">
        <v>-29.11948544037589</v>
      </c>
      <c r="CL125" s="64">
        <v>-169.52168838463243</v>
      </c>
      <c r="CN125" s="64">
        <v>100000</v>
      </c>
      <c r="CO125" s="64">
        <v>-19.614716112595801</v>
      </c>
      <c r="CP125" s="64">
        <v>-131.05803451172901</v>
      </c>
      <c r="CQ125" s="186">
        <v>83176.377110267335</v>
      </c>
      <c r="CR125" s="64">
        <v>-18.26821574093044</v>
      </c>
      <c r="CS125" s="64">
        <v>-127.73165358574498</v>
      </c>
      <c r="CU125" s="64">
        <v>100000</v>
      </c>
      <c r="CV125" s="64">
        <v>-19.613717676459402</v>
      </c>
      <c r="CW125" s="64">
        <v>-130.192940272507</v>
      </c>
      <c r="CX125" s="139">
        <v>83176.377110267335</v>
      </c>
      <c r="CY125" s="64">
        <v>-16.926527228622856</v>
      </c>
      <c r="CZ125" s="64">
        <v>-121.89299489912142</v>
      </c>
    </row>
    <row r="126" spans="2:104">
      <c r="B126" s="135">
        <f t="shared" si="58"/>
        <v>4.9600000000000009</v>
      </c>
      <c r="C126" s="139">
        <f t="shared" si="92"/>
        <v>91201.083935591188</v>
      </c>
      <c r="D126" s="139">
        <f t="shared" si="93"/>
        <v>573033.31058295874</v>
      </c>
      <c r="E126" s="32" t="str">
        <f t="shared" si="94"/>
        <v>573033.310582959i</v>
      </c>
      <c r="F126"/>
      <c r="G126" s="153" t="str">
        <f t="shared" si="75"/>
        <v>0.04+0.0232334829182781i</v>
      </c>
      <c r="H126" s="153" t="str">
        <f t="shared" si="76"/>
        <v>1+13.2903949317405i</v>
      </c>
      <c r="I126" t="str">
        <f t="shared" si="52"/>
        <v>0.00196348103718007-0.00286195550682847i</v>
      </c>
      <c r="J126"/>
      <c r="K126" t="str">
        <f t="shared" si="53"/>
        <v>0.04+0.0232334829182781i</v>
      </c>
      <c r="L126" t="str">
        <f t="shared" si="77"/>
        <v>5.43580907071529+72.2440493233435i</v>
      </c>
      <c r="M126" t="str">
        <f t="shared" si="54"/>
        <v>0.000361212289033121-0.000526500373651253i</v>
      </c>
      <c r="N126" s="153" t="str">
        <f t="shared" si="78"/>
        <v>0.0011+0.126067328328251i</v>
      </c>
      <c r="O126" s="135" t="str">
        <f t="shared" si="79"/>
        <v>0.000242+0.0277348122322152i</v>
      </c>
      <c r="Q126" s="135" t="str">
        <f t="shared" si="80"/>
        <v>-0.573033310582959i</v>
      </c>
      <c r="R126" s="135" t="str">
        <f t="shared" si="81"/>
        <v>-0.133082203376428</v>
      </c>
      <c r="S126" s="64" t="str">
        <f t="shared" si="55"/>
        <v>0.866917796623572-0.573033310582959i</v>
      </c>
      <c r="T126" s="135" t="str">
        <f t="shared" si="82"/>
        <v>0.00866917796623572-0.00573033310582959i</v>
      </c>
      <c r="U126" s="64" t="str">
        <f t="shared" si="56"/>
        <v>0.00927239025526884+0.0214779787527344i</v>
      </c>
      <c r="W126" s="64" t="str">
        <f t="shared" si="57"/>
        <v>-0.0790505673434955-0.125545740524866i</v>
      </c>
      <c r="X126" s="172">
        <f t="shared" si="95"/>
        <v>0.14836011984784017</v>
      </c>
      <c r="Y126" s="188">
        <f t="shared" si="96"/>
        <v>-16.57365649025563</v>
      </c>
      <c r="Z126" s="161">
        <f t="shared" si="97"/>
        <v>-122.19679581727229</v>
      </c>
      <c r="AA126" s="161">
        <f t="shared" ref="AA126:AA142" si="120">IF(Z126&lt;0,Z126,-1*Z126)</f>
        <v>-122.19679581727229</v>
      </c>
      <c r="AB126" s="199"/>
      <c r="AC126" s="64" t="str">
        <f t="shared" si="84"/>
        <v>-174509.924908672i</v>
      </c>
      <c r="AD126" s="64" t="str">
        <f t="shared" si="85"/>
        <v>22000-17450.9924908672i</v>
      </c>
      <c r="AE126" s="64" t="str">
        <f t="shared" si="98"/>
        <v>17946.1017524032-17921.2814479087i</v>
      </c>
      <c r="AF126" s="64" t="str">
        <f t="shared" si="86"/>
        <v>10000</v>
      </c>
      <c r="AG126" s="64" t="str">
        <f t="shared" si="87"/>
        <v>-4474.61345919672i</v>
      </c>
      <c r="AH126" s="64" t="str">
        <f t="shared" si="99"/>
        <v>1668.20566081217-3728.15590893889i</v>
      </c>
      <c r="AI126" s="64" t="str">
        <f t="shared" si="100"/>
        <v>5.79971175805411+2.21852035391205i</v>
      </c>
      <c r="AJ126" s="161">
        <f t="shared" si="101"/>
        <v>6.2095482152273478</v>
      </c>
      <c r="AK126" s="161">
        <f t="shared" si="102"/>
        <v>15.861200071901058</v>
      </c>
      <c r="AL126" s="161">
        <f t="shared" si="103"/>
        <v>20.932978122388555</v>
      </c>
      <c r="AN126" s="64" t="str">
        <f t="shared" si="104"/>
        <v>-0.179944724201543-0.903504400135516i</v>
      </c>
      <c r="AO126" s="161">
        <f t="shared" si="105"/>
        <v>0.92124931741207161</v>
      </c>
      <c r="AP126" s="161">
        <f t="shared" si="106"/>
        <v>-0.71245641835457019</v>
      </c>
      <c r="AQ126" s="161">
        <f t="shared" si="107"/>
        <v>-101.26381769488373</v>
      </c>
      <c r="AR126" s="64">
        <f t="shared" si="108"/>
        <v>78.736182305116273</v>
      </c>
      <c r="AT126" s="135" t="str">
        <f t="shared" si="88"/>
        <v>-54611.6280727901i</v>
      </c>
      <c r="AU126" s="135" t="str">
        <f t="shared" si="89"/>
        <v>27456.1383070198-9775.07753756302i</v>
      </c>
      <c r="AV126" s="135" t="str">
        <f t="shared" si="109"/>
        <v>16713.178721728-15417.9692218662i</v>
      </c>
      <c r="AW126" s="135" t="str">
        <f t="shared" si="90"/>
        <v>10000</v>
      </c>
      <c r="AX126" s="135" t="str">
        <f t="shared" si="91"/>
        <v>1789.92604368691-4197.51095184816i</v>
      </c>
      <c r="AY126" s="135" t="str">
        <f t="shared" si="110"/>
        <v>2472.34288821298-2680.03573995301i</v>
      </c>
      <c r="AZ126" s="135" t="str">
        <f t="shared" si="111"/>
        <v>6.21594405735772+0.501946156140992i</v>
      </c>
      <c r="BA126" s="182">
        <f t="shared" si="112"/>
        <v>6.2361775526251231</v>
      </c>
      <c r="BB126" s="182">
        <f t="shared" si="113"/>
        <v>15.898369433182815</v>
      </c>
      <c r="BC126" s="182">
        <f t="shared" si="114"/>
        <v>4.616696700925333</v>
      </c>
      <c r="BE126" s="135" t="str">
        <f t="shared" si="115"/>
        <v>-0.428356702433226-0.820064428160947i</v>
      </c>
      <c r="BF126" s="161">
        <f t="shared" si="116"/>
        <v>0.92520004909987352</v>
      </c>
      <c r="BG126" s="161">
        <f t="shared" si="117"/>
        <v>-0.67528705707281766</v>
      </c>
      <c r="BH126" s="161">
        <f t="shared" si="118"/>
        <v>-117.58009911634694</v>
      </c>
      <c r="BI126" s="64">
        <f t="shared" si="119"/>
        <v>62.419900883653057</v>
      </c>
      <c r="BS126" s="64">
        <v>109647.819614318</v>
      </c>
      <c r="BT126" s="64">
        <v>-17.170982966405401</v>
      </c>
      <c r="BU126" s="64">
        <v>-139.75866274543799</v>
      </c>
      <c r="BV126" s="186">
        <v>91201.083935591188</v>
      </c>
      <c r="BW126" s="64">
        <v>-14.881239519845309</v>
      </c>
      <c r="BX126" s="64">
        <v>-134.4375688530618</v>
      </c>
      <c r="BZ126" s="64">
        <v>109647.819614318</v>
      </c>
      <c r="CA126" s="64">
        <v>-19.697042948502801</v>
      </c>
      <c r="CB126" s="64">
        <v>-126.527587211304</v>
      </c>
      <c r="CC126" s="186">
        <v>91201.083935591188</v>
      </c>
      <c r="CD126" s="64">
        <v>-17.130506568370954</v>
      </c>
      <c r="CE126" s="64">
        <v>-119.41065992615438</v>
      </c>
      <c r="CG126" s="64">
        <v>109647.819614318</v>
      </c>
      <c r="CH126" s="64">
        <v>-34.100390775984501</v>
      </c>
      <c r="CI126" s="64">
        <v>-166.34125348552601</v>
      </c>
      <c r="CJ126" s="64">
        <v>91201.083935591188</v>
      </c>
      <c r="CK126" s="64">
        <v>-30.742323640197199</v>
      </c>
      <c r="CL126" s="64">
        <v>-169.77109208065605</v>
      </c>
      <c r="CN126" s="64">
        <v>109647.819614318</v>
      </c>
      <c r="CO126" s="64">
        <v>-20.725889939164301</v>
      </c>
      <c r="CP126" s="64">
        <v>-133.87039242818</v>
      </c>
      <c r="CQ126" s="186">
        <v>91201.083935591188</v>
      </c>
      <c r="CR126" s="64">
        <v>-19.461619867619078</v>
      </c>
      <c r="CS126" s="64">
        <v>-130.19514743152337</v>
      </c>
      <c r="CU126" s="64">
        <v>109647.819614318</v>
      </c>
      <c r="CV126" s="64">
        <v>-20.895479481392901</v>
      </c>
      <c r="CW126" s="64">
        <v>-132.98241618033401</v>
      </c>
      <c r="CX126" s="139">
        <v>91201.083935591188</v>
      </c>
      <c r="CY126" s="64">
        <v>-18.095449090799931</v>
      </c>
      <c r="CZ126" s="64">
        <v>-124.78468555327146</v>
      </c>
    </row>
    <row r="127" spans="2:104">
      <c r="B127" s="135">
        <f t="shared" si="58"/>
        <v>5.0000000000000009</v>
      </c>
      <c r="C127" s="139">
        <f t="shared" si="92"/>
        <v>100000.00000000038</v>
      </c>
      <c r="D127" s="139">
        <f t="shared" si="93"/>
        <v>628318.53071796102</v>
      </c>
      <c r="E127" s="32" t="str">
        <f t="shared" si="94"/>
        <v>628318.530717961i</v>
      </c>
      <c r="F127"/>
      <c r="G127" s="153" t="str">
        <f t="shared" si="75"/>
        <v>0.04+0.0234991511138527i</v>
      </c>
      <c r="H127" s="153" t="str">
        <f t="shared" si="76"/>
        <v>1+13.9803328564963i</v>
      </c>
      <c r="I127" t="str">
        <f t="shared" si="52"/>
        <v>0.00187593028495795-0.00272697868544144i</v>
      </c>
      <c r="J127"/>
      <c r="K127" t="str">
        <f t="shared" si="53"/>
        <v>0.04+0.0234991511138527i</v>
      </c>
      <c r="L127" t="str">
        <f t="shared" si="77"/>
        <v>5.43580907071529+75.9944201529615i</v>
      </c>
      <c r="M127" t="str">
        <f t="shared" si="54"/>
        <v>0.000345105992604539-0.000501669328331027i</v>
      </c>
      <c r="N127" s="153" t="str">
        <f t="shared" si="78"/>
        <v>0.0011+0.138230076757951i</v>
      </c>
      <c r="O127" s="135" t="str">
        <f t="shared" si="79"/>
        <v>0.000242+0.0304106168867492i</v>
      </c>
      <c r="Q127" s="135" t="str">
        <f t="shared" si="80"/>
        <v>-0.628318530717961i</v>
      </c>
      <c r="R127" s="135" t="str">
        <f t="shared" si="81"/>
        <v>-0.160000000000001</v>
      </c>
      <c r="S127" s="64" t="str">
        <f t="shared" si="55"/>
        <v>0.839999999999999-0.628318530717961i</v>
      </c>
      <c r="T127" s="135" t="str">
        <f t="shared" si="82"/>
        <v>0.00839999999999999-0.00628318530717961i</v>
      </c>
      <c r="U127" s="64" t="str">
        <f t="shared" si="56"/>
        <v>0.00898710599260453+0.0236257622512386i</v>
      </c>
      <c r="W127" s="64" t="str">
        <f t="shared" si="57"/>
        <v>-0.0744473889275342-0.107721259236363i</v>
      </c>
      <c r="X127" s="172">
        <f t="shared" si="95"/>
        <v>0.13094381776011901</v>
      </c>
      <c r="Y127" s="188">
        <f t="shared" si="96"/>
        <v>-17.658300021299823</v>
      </c>
      <c r="Z127" s="161">
        <f t="shared" si="97"/>
        <v>-124.64879236838489</v>
      </c>
      <c r="AA127" s="161">
        <f t="shared" si="120"/>
        <v>-124.64879236838489</v>
      </c>
      <c r="AB127" s="199"/>
      <c r="AC127" s="64" t="str">
        <f t="shared" si="84"/>
        <v>-159154.943091895i</v>
      </c>
      <c r="AD127" s="64" t="str">
        <f t="shared" si="85"/>
        <v>22000-15915.4943091895i</v>
      </c>
      <c r="AE127" s="64" t="str">
        <f t="shared" si="98"/>
        <v>17899.1658836091-16717.9067119856i</v>
      </c>
      <c r="AF127" s="64" t="str">
        <f t="shared" si="86"/>
        <v>10000</v>
      </c>
      <c r="AG127" s="64" t="str">
        <f t="shared" si="87"/>
        <v>-4080.89597671525i</v>
      </c>
      <c r="AH127" s="64" t="str">
        <f t="shared" si="99"/>
        <v>1427.61954944546-3498.29928915405i</v>
      </c>
      <c r="AI127" s="64" t="str">
        <f t="shared" si="100"/>
        <v>5.88654311532325+2.7142965963373i</v>
      </c>
      <c r="AJ127" s="161">
        <f t="shared" si="101"/>
        <v>6.482190668396588</v>
      </c>
      <c r="AK127" s="161">
        <f t="shared" si="102"/>
        <v>16.234436026101115</v>
      </c>
      <c r="AL127" s="161">
        <f t="shared" si="103"/>
        <v>24.754519622231474</v>
      </c>
      <c r="AN127" s="64" t="str">
        <f t="shared" si="104"/>
        <v>-0.145850317446741-0.836178131303969i</v>
      </c>
      <c r="AO127" s="161">
        <f t="shared" si="105"/>
        <v>0.84880279356886712</v>
      </c>
      <c r="AP127" s="161">
        <f t="shared" si="106"/>
        <v>-1.4238639951987042</v>
      </c>
      <c r="AQ127" s="161">
        <f t="shared" si="107"/>
        <v>-99.894272746153419</v>
      </c>
      <c r="AR127" s="64">
        <f t="shared" si="108"/>
        <v>80.105727253846581</v>
      </c>
      <c r="AT127" s="135" t="str">
        <f t="shared" si="88"/>
        <v>-49806.396757258i</v>
      </c>
      <c r="AU127" s="135" t="str">
        <f t="shared" si="89"/>
        <v>27456.1383070198-8914.97666980194i</v>
      </c>
      <c r="AV127" s="135" t="str">
        <f t="shared" si="109"/>
        <v>16208.7528101523-15140.1878422006i</v>
      </c>
      <c r="AW127" s="135" t="str">
        <f t="shared" si="90"/>
        <v>10000</v>
      </c>
      <c r="AX127" s="135" t="str">
        <f t="shared" si="91"/>
        <v>1789.92604368691-3828.17548640066i</v>
      </c>
      <c r="AY127" s="135" t="str">
        <f t="shared" si="110"/>
        <v>2327.1284236773-2491.37261505616i</v>
      </c>
      <c r="AZ127" s="135" t="str">
        <f t="shared" si="111"/>
        <v>6.49085231908875+0.443011164945421i</v>
      </c>
      <c r="BA127" s="182">
        <f t="shared" si="112"/>
        <v>6.5059528679883707</v>
      </c>
      <c r="BB127" s="182">
        <f t="shared" si="113"/>
        <v>16.266218254702999</v>
      </c>
      <c r="BC127" s="182">
        <f t="shared" si="114"/>
        <v>3.9044743824876207</v>
      </c>
      <c r="BE127" s="135" t="str">
        <f t="shared" si="115"/>
        <v>-0.435505286526699-0.732183809825439i</v>
      </c>
      <c r="BF127" s="161">
        <f t="shared" si="116"/>
        <v>0.85191430670179313</v>
      </c>
      <c r="BG127" s="161">
        <f t="shared" si="117"/>
        <v>-1.3920817665968197</v>
      </c>
      <c r="BH127" s="161">
        <f t="shared" si="118"/>
        <v>-120.74431798589725</v>
      </c>
      <c r="BI127" s="64">
        <f t="shared" si="119"/>
        <v>59.255682014102746</v>
      </c>
      <c r="BS127" s="64">
        <v>120226.443461741</v>
      </c>
      <c r="BT127" s="64">
        <v>-18.594711459506801</v>
      </c>
      <c r="BU127" s="64">
        <v>-141.90776022453599</v>
      </c>
      <c r="BV127" s="186">
        <v>100000.00000000038</v>
      </c>
      <c r="BW127" s="64">
        <v>-16.214825772746899</v>
      </c>
      <c r="BX127" s="64">
        <v>-136.48667501177155</v>
      </c>
      <c r="BZ127" s="64">
        <v>120226.443461741</v>
      </c>
      <c r="CA127" s="64">
        <v>-20.9026904257395</v>
      </c>
      <c r="CB127" s="64">
        <v>-129.22141061285899</v>
      </c>
      <c r="CC127" s="186">
        <v>100000.00000000038</v>
      </c>
      <c r="CD127" s="64">
        <v>-18.246334410401108</v>
      </c>
      <c r="CE127" s="64">
        <v>-122.17508636421192</v>
      </c>
      <c r="CG127" s="64">
        <v>120226.443461741</v>
      </c>
      <c r="CH127" s="64">
        <v>-35.561012254267901</v>
      </c>
      <c r="CI127" s="64">
        <v>-165.71195356243899</v>
      </c>
      <c r="CJ127" s="64">
        <v>100000.00000000038</v>
      </c>
      <c r="CK127" s="64">
        <v>-32.368349441486814</v>
      </c>
      <c r="CL127" s="64">
        <v>-169.92697128344972</v>
      </c>
      <c r="CN127" s="64">
        <v>120226.443461741</v>
      </c>
      <c r="CO127" s="64">
        <v>-21.846241596746399</v>
      </c>
      <c r="CP127" s="64">
        <v>-136.81326535643001</v>
      </c>
      <c r="CQ127" s="186">
        <v>100000.00000000038</v>
      </c>
      <c r="CR127" s="64">
        <v>-20.684872225412022</v>
      </c>
      <c r="CS127" s="64">
        <v>-132.6447001823245</v>
      </c>
      <c r="CU127" s="64">
        <v>120226.443461741</v>
      </c>
      <c r="CV127" s="64">
        <v>-22.218819125079602</v>
      </c>
      <c r="CW127" s="64">
        <v>-135.65027822788099</v>
      </c>
      <c r="CX127" s="139">
        <v>100000.00000000038</v>
      </c>
      <c r="CY127" s="64">
        <v>-19.306391752368537</v>
      </c>
      <c r="CZ127" s="64">
        <v>-127.6151403297167</v>
      </c>
    </row>
    <row r="128" spans="2:104">
      <c r="B128" s="135">
        <f t="shared" si="58"/>
        <v>5.04</v>
      </c>
      <c r="C128" s="139">
        <f t="shared" si="92"/>
        <v>109647.81961431868</v>
      </c>
      <c r="D128" s="139">
        <f t="shared" si="93"/>
        <v>688937.56916496472</v>
      </c>
      <c r="E128" s="32" t="str">
        <f t="shared" si="94"/>
        <v>688937.569164965i</v>
      </c>
      <c r="F128"/>
      <c r="G128" s="153" t="str">
        <f t="shared" si="75"/>
        <v>0.04+0.0235864185672753i</v>
      </c>
      <c r="H128" s="153" t="str">
        <f t="shared" si="76"/>
        <v>1+14.6785626123527i</v>
      </c>
      <c r="I128" t="str">
        <f t="shared" si="52"/>
        <v>0.00178422971562484-0.00260350902834415i</v>
      </c>
      <c r="J128"/>
      <c r="K128" t="str">
        <f t="shared" si="53"/>
        <v>0.04+0.0235864185672753i</v>
      </c>
      <c r="L128" t="str">
        <f t="shared" si="77"/>
        <v>5.43580907071529+79.7898637932891i</v>
      </c>
      <c r="M128" t="str">
        <f t="shared" si="54"/>
        <v>0.000328236274014322-0.000478955201419825i</v>
      </c>
      <c r="N128" s="153" t="str">
        <f t="shared" si="78"/>
        <v>0.0011+0.151566265216292i</v>
      </c>
      <c r="O128" s="135" t="str">
        <f t="shared" si="79"/>
        <v>0.000242+0.0333445783475842i</v>
      </c>
      <c r="Q128" s="135" t="str">
        <f t="shared" si="80"/>
        <v>-0.688937569164965i</v>
      </c>
      <c r="R128" s="135" t="str">
        <f t="shared" si="81"/>
        <v>-0.192362309538787</v>
      </c>
      <c r="S128" s="64" t="str">
        <f t="shared" si="55"/>
        <v>0.807637690461213-0.688937569164965i</v>
      </c>
      <c r="T128" s="135" t="str">
        <f t="shared" si="82"/>
        <v>0.00807637690461213-0.00688937569164965i</v>
      </c>
      <c r="U128" s="64" t="str">
        <f t="shared" si="56"/>
        <v>0.00864661317862645+0.0259762474545147i</v>
      </c>
      <c r="W128" s="64" t="str">
        <f t="shared" si="57"/>
        <v>-0.0696461726394519-0.0918698219975285i</v>
      </c>
      <c r="X128" s="172">
        <f t="shared" si="95"/>
        <v>0.11528509685636695</v>
      </c>
      <c r="Y128" s="188">
        <f t="shared" si="96"/>
        <v>-18.764536624508807</v>
      </c>
      <c r="Z128" s="161">
        <f t="shared" si="97"/>
        <v>-127.16563156507281</v>
      </c>
      <c r="AA128" s="161">
        <f t="shared" si="120"/>
        <v>-127.16563156507281</v>
      </c>
      <c r="AB128" s="199"/>
      <c r="AC128" s="64" t="str">
        <f t="shared" si="84"/>
        <v>-145151.033236881i</v>
      </c>
      <c r="AD128" s="64" t="str">
        <f t="shared" si="85"/>
        <v>22000-14515.1033236881i</v>
      </c>
      <c r="AE128" s="64" t="str">
        <f t="shared" si="98"/>
        <v>17843.0605583037-15654.0994295803i</v>
      </c>
      <c r="AF128" s="64" t="str">
        <f t="shared" si="86"/>
        <v>10000</v>
      </c>
      <c r="AG128" s="64" t="str">
        <f t="shared" si="87"/>
        <v>-3721.82136504824i</v>
      </c>
      <c r="AH128" s="64" t="str">
        <f t="shared" si="99"/>
        <v>1216.66372454833-3269.00086063793i</v>
      </c>
      <c r="AI128" s="64" t="str">
        <f t="shared" si="100"/>
        <v>5.99033796713823+3.22876441636736i</v>
      </c>
      <c r="AJ128" s="161">
        <f t="shared" si="101"/>
        <v>6.8050766797250599</v>
      </c>
      <c r="AK128" s="161">
        <f t="shared" si="102"/>
        <v>16.656660464097417</v>
      </c>
      <c r="AL128" s="161">
        <f t="shared" si="103"/>
        <v>28.32446178138914</v>
      </c>
      <c r="AN128" s="64" t="str">
        <f t="shared" si="104"/>
        <v>-0.120578100024349-0.775202366700466i</v>
      </c>
      <c r="AO128" s="161">
        <f t="shared" si="105"/>
        <v>0.78452392413710725</v>
      </c>
      <c r="AP128" s="161">
        <f t="shared" si="106"/>
        <v>-2.1078761604113945</v>
      </c>
      <c r="AQ128" s="161">
        <f t="shared" si="107"/>
        <v>-98.841169783683668</v>
      </c>
      <c r="AR128" s="64">
        <f t="shared" si="108"/>
        <v>81.158830216316332</v>
      </c>
      <c r="AT128" s="135" t="str">
        <f t="shared" si="88"/>
        <v>-45423.9737118804i</v>
      </c>
      <c r="AU128" s="135" t="str">
        <f t="shared" si="89"/>
        <v>27456.1383070198-8130.55535546443i</v>
      </c>
      <c r="AV128" s="135" t="str">
        <f t="shared" si="109"/>
        <v>15641.1973251119-14915.0599153027i</v>
      </c>
      <c r="AW128" s="135" t="str">
        <f t="shared" si="90"/>
        <v>10000</v>
      </c>
      <c r="AX128" s="135" t="str">
        <f t="shared" si="91"/>
        <v>1789.92604368691-3491.33753855399i</v>
      </c>
      <c r="AY128" s="135" t="str">
        <f t="shared" si="110"/>
        <v>2202.00664486131-2309.21100143529i</v>
      </c>
      <c r="AZ128" s="135" t="str">
        <f t="shared" si="111"/>
        <v>6.76574870113529+0.321743542399732i</v>
      </c>
      <c r="BA128" s="182">
        <f t="shared" si="112"/>
        <v>6.7733945990167879</v>
      </c>
      <c r="BB128" s="182">
        <f t="shared" si="113"/>
        <v>16.616127542493761</v>
      </c>
      <c r="BC128" s="182">
        <f t="shared" si="114"/>
        <v>2.7226357945419561</v>
      </c>
      <c r="BE128" s="135" t="str">
        <f t="shared" si="115"/>
        <v>-0.441649980105298-0.643976335152909i</v>
      </c>
      <c r="BF128" s="161">
        <f t="shared" si="116"/>
        <v>0.78087145239404276</v>
      </c>
      <c r="BG128" s="161">
        <f t="shared" si="117"/>
        <v>-2.148409082015053</v>
      </c>
      <c r="BH128" s="161">
        <f t="shared" si="118"/>
        <v>-124.44299577053084</v>
      </c>
      <c r="BI128" s="64">
        <f t="shared" si="119"/>
        <v>55.557004229469158</v>
      </c>
      <c r="BS128" s="64">
        <v>131825.67385563999</v>
      </c>
      <c r="BT128" s="64">
        <v>-20.0724045488207</v>
      </c>
      <c r="BU128" s="64">
        <v>-143.962790308758</v>
      </c>
      <c r="BV128" s="186">
        <v>109647.81961431868</v>
      </c>
      <c r="BW128" s="64">
        <v>-17.591643686468711</v>
      </c>
      <c r="BX128" s="64">
        <v>-138.4800754230811</v>
      </c>
      <c r="BZ128" s="64">
        <v>131825.67385563999</v>
      </c>
      <c r="CA128" s="64">
        <v>-22.149854246420901</v>
      </c>
      <c r="CB128" s="64">
        <v>-131.85369997490901</v>
      </c>
      <c r="CC128" s="186">
        <v>109647.81961431868</v>
      </c>
      <c r="CD128" s="64">
        <v>-19.404750340203165</v>
      </c>
      <c r="CE128" s="64">
        <v>-124.92815439460877</v>
      </c>
      <c r="CG128" s="64">
        <v>131825.67385563999</v>
      </c>
      <c r="CH128" s="64">
        <v>-36.952006068138303</v>
      </c>
      <c r="CI128" s="64">
        <v>-164.92029352844801</v>
      </c>
      <c r="CJ128" s="64">
        <v>109647.81961431868</v>
      </c>
      <c r="CK128" s="64">
        <v>-33.998449958282684</v>
      </c>
      <c r="CL128" s="64">
        <v>-169.98949394765643</v>
      </c>
      <c r="CN128" s="64">
        <v>131825.67385563999</v>
      </c>
      <c r="CO128" s="64">
        <v>-22.9737059502135</v>
      </c>
      <c r="CP128" s="64">
        <v>-139.945580464047</v>
      </c>
      <c r="CQ128" s="186">
        <v>109647.81961431868</v>
      </c>
      <c r="CR128" s="64">
        <v>-21.940197566578593</v>
      </c>
      <c r="CS128" s="64">
        <v>-135.0728738308037</v>
      </c>
      <c r="CU128" s="64">
        <v>131825.67385563999</v>
      </c>
      <c r="CV128" s="64">
        <v>-23.583053963155901</v>
      </c>
      <c r="CW128" s="64">
        <v>-138.17536893203601</v>
      </c>
      <c r="CX128" s="139">
        <v>109647.81961431868</v>
      </c>
      <c r="CY128" s="64">
        <v>-20.560032239356193</v>
      </c>
      <c r="CZ128" s="64">
        <v>-130.3618462342269</v>
      </c>
    </row>
    <row r="129" spans="2:104">
      <c r="B129" s="135">
        <f t="shared" si="58"/>
        <v>5.08</v>
      </c>
      <c r="C129" s="139">
        <f t="shared" si="92"/>
        <v>120226.44346174144</v>
      </c>
      <c r="D129" s="139">
        <f t="shared" si="93"/>
        <v>755405.02309327107</v>
      </c>
      <c r="E129" s="32" t="str">
        <f t="shared" si="94"/>
        <v>755405.023093271i</v>
      </c>
      <c r="F129"/>
      <c r="G129" s="153" t="str">
        <f t="shared" si="75"/>
        <v>0.04+0.0234977187136032i</v>
      </c>
      <c r="H129" s="153" t="str">
        <f t="shared" si="76"/>
        <v>1+15.3932877553449i</v>
      </c>
      <c r="I129" t="str">
        <f t="shared" si="52"/>
        <v>0.00168817634546035-0.00248886555383446i</v>
      </c>
      <c r="J129"/>
      <c r="K129" t="str">
        <f t="shared" si="53"/>
        <v>0.04+0.0234977187136032i</v>
      </c>
      <c r="L129" t="str">
        <f t="shared" si="77"/>
        <v>5.43580907071529+83.6749732086344i</v>
      </c>
      <c r="M129" t="str">
        <f t="shared" si="54"/>
        <v>0.000310565791310658-0.000457864785436062i</v>
      </c>
      <c r="N129" s="153" t="str">
        <f t="shared" si="78"/>
        <v>0.0011+0.16618910508052i</v>
      </c>
      <c r="O129" s="135" t="str">
        <f t="shared" si="79"/>
        <v>0.000242+0.0365616031177144i</v>
      </c>
      <c r="Q129" s="135" t="str">
        <f t="shared" si="80"/>
        <v>-0.755405023093271i</v>
      </c>
      <c r="R129" s="135" t="str">
        <f t="shared" si="81"/>
        <v>-0.231270363319349</v>
      </c>
      <c r="S129" s="64" t="str">
        <f t="shared" si="55"/>
        <v>0.768729636680651-0.755405023093271i</v>
      </c>
      <c r="T129" s="135" t="str">
        <f t="shared" si="82"/>
        <v>0.00768729636680651-0.00755405023093271i</v>
      </c>
      <c r="U129" s="64" t="str">
        <f t="shared" si="56"/>
        <v>0.00823986215811717+0.0285496881013456i</v>
      </c>
      <c r="W129" s="64" t="str">
        <f t="shared" si="57"/>
        <v>-0.0647194655245206-0.0778101607430421i</v>
      </c>
      <c r="X129" s="172">
        <f t="shared" si="95"/>
        <v>0.10120785706968437</v>
      </c>
      <c r="Y129" s="188">
        <f t="shared" si="96"/>
        <v>-19.895715412068352</v>
      </c>
      <c r="Z129" s="161">
        <f t="shared" si="97"/>
        <v>-129.75236689920041</v>
      </c>
      <c r="AA129" s="161">
        <f t="shared" si="120"/>
        <v>-129.75236689920041</v>
      </c>
      <c r="AB129" s="199"/>
      <c r="AC129" s="64" t="str">
        <f t="shared" si="84"/>
        <v>-132379.315655746i</v>
      </c>
      <c r="AD129" s="64" t="str">
        <f t="shared" si="85"/>
        <v>22000-13237.9315655746i</v>
      </c>
      <c r="AE129" s="64" t="str">
        <f t="shared" si="98"/>
        <v>17776.0710070995-14720.1099073565i</v>
      </c>
      <c r="AF129" s="64" t="str">
        <f t="shared" si="86"/>
        <v>10000</v>
      </c>
      <c r="AG129" s="64" t="str">
        <f t="shared" si="87"/>
        <v>-3394.3414270704i</v>
      </c>
      <c r="AH129" s="64" t="str">
        <f t="shared" si="99"/>
        <v>1033.12349396507-3043.66403958586i</v>
      </c>
      <c r="AI129" s="64" t="str">
        <f t="shared" si="100"/>
        <v>6.11426863686579+3.76496100781836i</v>
      </c>
      <c r="AJ129" s="161">
        <f t="shared" si="101"/>
        <v>7.1804743822503321</v>
      </c>
      <c r="AK129" s="161">
        <f t="shared" si="102"/>
        <v>17.123062742194236</v>
      </c>
      <c r="AL129" s="161">
        <f t="shared" si="103"/>
        <v>31.623364484404938</v>
      </c>
      <c r="AN129" s="64" t="str">
        <f t="shared" si="104"/>
        <v>-0.102759977041661-0.719418489607333i</v>
      </c>
      <c r="AO129" s="161">
        <f t="shared" si="105"/>
        <v>0.72672042497132205</v>
      </c>
      <c r="AP129" s="161">
        <f t="shared" si="106"/>
        <v>-2.7726526698741139</v>
      </c>
      <c r="AQ129" s="161">
        <f t="shared" si="107"/>
        <v>-98.129002414795522</v>
      </c>
      <c r="AR129" s="64">
        <f t="shared" si="108"/>
        <v>81.870997585204478</v>
      </c>
      <c r="AT129" s="135" t="str">
        <f t="shared" si="88"/>
        <v>-41427.1563918529i</v>
      </c>
      <c r="AU129" s="135" t="str">
        <f t="shared" si="89"/>
        <v>27456.1383070198-7415.15461416681i</v>
      </c>
      <c r="AV129" s="135" t="str">
        <f t="shared" si="109"/>
        <v>15009.3381891894-14726.7240283005i</v>
      </c>
      <c r="AW129" s="135" t="str">
        <f t="shared" si="90"/>
        <v>10000</v>
      </c>
      <c r="AX129" s="135" t="str">
        <f t="shared" si="91"/>
        <v>1789.92604368691-3184.13767901142i</v>
      </c>
      <c r="AY129" s="135" t="str">
        <f t="shared" si="110"/>
        <v>2094.78344790188-2134.98352669979i</v>
      </c>
      <c r="AZ129" s="135" t="str">
        <f t="shared" si="111"/>
        <v>7.02891930012454+0.133619008803974i</v>
      </c>
      <c r="BA129" s="182">
        <f t="shared" si="112"/>
        <v>7.0301892269822295</v>
      </c>
      <c r="BB129" s="182">
        <f t="shared" si="113"/>
        <v>16.939340295924797</v>
      </c>
      <c r="BC129" s="182">
        <f t="shared" si="114"/>
        <v>1.0890555051208399</v>
      </c>
      <c r="BE129" s="135" t="str">
        <f t="shared" si="115"/>
        <v>-0.444510983765684-0.555569091426271i</v>
      </c>
      <c r="BF129" s="161">
        <f t="shared" si="116"/>
        <v>0.71151038645725218</v>
      </c>
      <c r="BG129" s="161">
        <f t="shared" si="117"/>
        <v>-2.9563751161435552</v>
      </c>
      <c r="BH129" s="161">
        <f t="shared" si="118"/>
        <v>-128.66331139407959</v>
      </c>
      <c r="BI129" s="64">
        <f t="shared" si="119"/>
        <v>51.336688605920415</v>
      </c>
      <c r="BS129" s="64">
        <v>144543.977074592</v>
      </c>
      <c r="BT129" s="64">
        <v>-21.609415849496902</v>
      </c>
      <c r="BU129" s="64">
        <v>-145.87953128220801</v>
      </c>
      <c r="BV129" s="186">
        <v>120226.44346174144</v>
      </c>
      <c r="BW129" s="64">
        <v>-19.016670117963677</v>
      </c>
      <c r="BX129" s="64">
        <v>-140.38825827898557</v>
      </c>
      <c r="BZ129" s="64">
        <v>144543.977074592</v>
      </c>
      <c r="CA129" s="64">
        <v>-23.439396137042898</v>
      </c>
      <c r="CB129" s="64">
        <v>-134.406436268378</v>
      </c>
      <c r="CC129" s="186">
        <v>120226.44346174144</v>
      </c>
      <c r="CD129" s="64">
        <v>-20.607702289275064</v>
      </c>
      <c r="CE129" s="64">
        <v>-127.64561943942041</v>
      </c>
      <c r="CG129" s="64">
        <v>144543.977074592</v>
      </c>
      <c r="CH129" s="64">
        <v>-38.229835286736197</v>
      </c>
      <c r="CI129" s="64">
        <v>-164.02594972177701</v>
      </c>
      <c r="CJ129" s="64">
        <v>120226.44346174144</v>
      </c>
      <c r="CK129" s="64">
        <v>-35.633657270256634</v>
      </c>
      <c r="CL129" s="64">
        <v>-169.95739529955367</v>
      </c>
      <c r="CN129" s="64">
        <v>144543.977074592</v>
      </c>
      <c r="CO129" s="64">
        <v>-24.106179810105001</v>
      </c>
      <c r="CP129" s="64">
        <v>-143.335213277951</v>
      </c>
      <c r="CQ129" s="186">
        <v>120226.44346174144</v>
      </c>
      <c r="CR129" s="64">
        <v>-23.229828388608134</v>
      </c>
      <c r="CS129" s="64">
        <v>-137.46840867737853</v>
      </c>
      <c r="CU129" s="64">
        <v>144543.977074592</v>
      </c>
      <c r="CV129" s="64">
        <v>-24.987307042314299</v>
      </c>
      <c r="CW129" s="64">
        <v>-140.53748678650001</v>
      </c>
      <c r="CX129" s="139">
        <v>120226.44346174144</v>
      </c>
      <c r="CY129" s="64">
        <v>-21.856636175054316</v>
      </c>
      <c r="CZ129" s="64">
        <v>-133.00149552640323</v>
      </c>
    </row>
    <row r="130" spans="2:104">
      <c r="B130" s="135">
        <f t="shared" si="58"/>
        <v>5.12</v>
      </c>
      <c r="C130" s="139">
        <f t="shared" si="92"/>
        <v>131825.67385564081</v>
      </c>
      <c r="D130" s="139">
        <f t="shared" si="93"/>
        <v>828285.13707881048</v>
      </c>
      <c r="E130" s="32" t="str">
        <f t="shared" si="94"/>
        <v>828285.13707881i</v>
      </c>
      <c r="F130"/>
      <c r="G130" s="153" t="str">
        <f t="shared" si="75"/>
        <v>0.04+0.0232436160602795i</v>
      </c>
      <c r="H130" s="153" t="str">
        <f t="shared" si="76"/>
        <v>1+16.1363811150137i</v>
      </c>
      <c r="I130" t="str">
        <f t="shared" si="52"/>
        <v>0.00158796927113452-0.00238046129767758i</v>
      </c>
      <c r="J130"/>
      <c r="K130" t="str">
        <f t="shared" si="53"/>
        <v>0.04+0.0232436160602795i</v>
      </c>
      <c r="L130" t="str">
        <f t="shared" si="77"/>
        <v>5.43580907071529+87.7142868335103i</v>
      </c>
      <c r="M130" t="str">
        <f t="shared" si="54"/>
        <v>0.000292131171363154-0.000437922168845481i</v>
      </c>
      <c r="N130" s="153" t="str">
        <f t="shared" si="78"/>
        <v>0.0011+0.182222730157338i</v>
      </c>
      <c r="O130" s="135" t="str">
        <f t="shared" si="79"/>
        <v>0.000242+0.0400890006346144i</v>
      </c>
      <c r="Q130" s="135" t="str">
        <f t="shared" si="80"/>
        <v>-0.82828513707881i</v>
      </c>
      <c r="R130" s="135" t="str">
        <f t="shared" si="81"/>
        <v>-0.2780481325999</v>
      </c>
      <c r="S130" s="64" t="str">
        <f t="shared" si="55"/>
        <v>0.7219518674001-0.82828513707881i</v>
      </c>
      <c r="T130" s="135" t="str">
        <f t="shared" si="82"/>
        <v>0.007219518674001-0.0082828513707881i</v>
      </c>
      <c r="U130" s="64" t="str">
        <f t="shared" si="56"/>
        <v>0.00775364984536415+0.0313682270949808i</v>
      </c>
      <c r="W130" s="64" t="str">
        <f t="shared" si="57"/>
        <v>-0.0597253168043153-0.0653864962890049i</v>
      </c>
      <c r="X130" s="172">
        <f t="shared" si="95"/>
        <v>8.8557932249617707E-2</v>
      </c>
      <c r="Y130" s="188">
        <f t="shared" si="96"/>
        <v>-21.055450648156864</v>
      </c>
      <c r="Z130" s="161">
        <f t="shared" si="97"/>
        <v>-132.40919277212797</v>
      </c>
      <c r="AA130" s="161">
        <f t="shared" si="120"/>
        <v>-132.40919277212797</v>
      </c>
      <c r="AB130" s="199"/>
      <c r="AC130" s="64" t="str">
        <f t="shared" si="84"/>
        <v>-120731.370784558i</v>
      </c>
      <c r="AD130" s="64" t="str">
        <f t="shared" si="85"/>
        <v>22000-12073.1370784558i</v>
      </c>
      <c r="AE130" s="64" t="str">
        <f t="shared" si="98"/>
        <v>17696.1947679887-13907.0781840679i</v>
      </c>
      <c r="AF130" s="64" t="str">
        <f t="shared" si="86"/>
        <v>10000</v>
      </c>
      <c r="AG130" s="64" t="str">
        <f t="shared" si="87"/>
        <v>-3095.67617396302i</v>
      </c>
      <c r="AH130" s="64" t="str">
        <f t="shared" si="99"/>
        <v>874.514525433313-2824.95479594617i</v>
      </c>
      <c r="AI130" s="64" t="str">
        <f t="shared" si="100"/>
        <v>6.26203967922087+4.32571527417217i</v>
      </c>
      <c r="AJ130" s="161">
        <f t="shared" si="101"/>
        <v>7.6108444720243114</v>
      </c>
      <c r="AK130" s="161">
        <f t="shared" si="102"/>
        <v>17.628656944065646</v>
      </c>
      <c r="AL130" s="161">
        <f t="shared" si="103"/>
        <v>34.636086308109547</v>
      </c>
      <c r="AN130" s="64" t="str">
        <f t="shared" si="104"/>
        <v>-0.091158937960709-0.667807549402175i</v>
      </c>
      <c r="AO130" s="161">
        <f t="shared" si="105"/>
        <v>0.67400064911590607</v>
      </c>
      <c r="AP130" s="161">
        <f t="shared" si="106"/>
        <v>-3.4267937040912191</v>
      </c>
      <c r="AQ130" s="161">
        <f t="shared" si="107"/>
        <v>-97.773106464018412</v>
      </c>
      <c r="AR130" s="64">
        <f t="shared" si="108"/>
        <v>82.226893535981588</v>
      </c>
      <c r="AT130" s="135" t="str">
        <f t="shared" si="88"/>
        <v>-37782.0156730622i</v>
      </c>
      <c r="AU130" s="135" t="str">
        <f t="shared" si="89"/>
        <v>27456.1383070198-6762.70138362012i</v>
      </c>
      <c r="AV130" s="135" t="str">
        <f t="shared" si="109"/>
        <v>14314.1294624082-14558.8354979876i</v>
      </c>
      <c r="AW130" s="135" t="str">
        <f t="shared" si="90"/>
        <v>10000</v>
      </c>
      <c r="AX130" s="135" t="str">
        <f t="shared" si="91"/>
        <v>1789.92604368691-2903.96807725998i</v>
      </c>
      <c r="AY130" s="135" t="str">
        <f t="shared" si="110"/>
        <v>2003.3268085571-1969.65473627084i</v>
      </c>
      <c r="AZ130" s="135" t="str">
        <f t="shared" si="111"/>
        <v>7.2662852911556-0.123176237703106i</v>
      </c>
      <c r="BA130" s="182">
        <f t="shared" si="112"/>
        <v>7.2673292424383051</v>
      </c>
      <c r="BB130" s="182">
        <f t="shared" si="113"/>
        <v>17.227496722332557</v>
      </c>
      <c r="BC130" s="182">
        <f t="shared" si="114"/>
        <v>-0.97117060147877765</v>
      </c>
      <c r="BE130" s="135" t="str">
        <f t="shared" si="115"/>
        <v>-0.442035253614272-0.467760196405415i</v>
      </c>
      <c r="BF130" s="161">
        <f t="shared" si="116"/>
        <v>0.64357965068751677</v>
      </c>
      <c r="BG130" s="161">
        <f t="shared" si="117"/>
        <v>-3.8279539258243078</v>
      </c>
      <c r="BH130" s="161">
        <f t="shared" si="118"/>
        <v>-133.38036337360671</v>
      </c>
      <c r="BI130" s="64">
        <f t="shared" si="119"/>
        <v>46.619636626393287</v>
      </c>
      <c r="BS130" s="64">
        <v>158489.319246111</v>
      </c>
      <c r="BT130" s="64">
        <v>-23.212290901242199</v>
      </c>
      <c r="BU130" s="64">
        <v>-147.63213565982699</v>
      </c>
      <c r="BV130" s="186">
        <v>131825.67385564081</v>
      </c>
      <c r="BW130" s="64">
        <v>-20.495032992847037</v>
      </c>
      <c r="BX130" s="64">
        <v>-142.17550207069419</v>
      </c>
      <c r="BZ130" s="64">
        <v>158489.319246111</v>
      </c>
      <c r="CA130" s="64">
        <v>-24.770451670891902</v>
      </c>
      <c r="CB130" s="64">
        <v>-136.841546085044</v>
      </c>
      <c r="CC130" s="186">
        <v>131825.67385564081</v>
      </c>
      <c r="CD130" s="64">
        <v>-21.856733145464847</v>
      </c>
      <c r="CE130" s="64">
        <v>-130.30102527890395</v>
      </c>
      <c r="CG130" s="64">
        <v>158489.319246111</v>
      </c>
      <c r="CH130" s="64">
        <v>-39.321382343681101</v>
      </c>
      <c r="CI130" s="64">
        <v>-163.31701292795799</v>
      </c>
      <c r="CJ130" s="64">
        <v>131825.67385564081</v>
      </c>
      <c r="CK130" s="64">
        <v>-37.275184145752142</v>
      </c>
      <c r="CL130" s="64">
        <v>-169.82780646758775</v>
      </c>
      <c r="CN130" s="64">
        <v>158489.319246111</v>
      </c>
      <c r="CO130" s="64">
        <v>-25.247803279417599</v>
      </c>
      <c r="CP130" s="64">
        <v>-147.15461510108699</v>
      </c>
      <c r="CQ130" s="186">
        <v>131825.67385564081</v>
      </c>
      <c r="CR130" s="64">
        <v>-24.555906136776716</v>
      </c>
      <c r="CS130" s="64">
        <v>-139.8164838133689</v>
      </c>
      <c r="CU130" s="64">
        <v>158489.319246111</v>
      </c>
      <c r="CV130" s="64">
        <v>-26.430651183516201</v>
      </c>
      <c r="CW130" s="64">
        <v>-142.71739509676101</v>
      </c>
      <c r="CX130" s="139">
        <v>131825.67385564081</v>
      </c>
      <c r="CY130" s="64">
        <v>-23.196120667062004</v>
      </c>
      <c r="CZ130" s="64">
        <v>-135.51066600842776</v>
      </c>
    </row>
    <row r="131" spans="2:104">
      <c r="B131" s="135">
        <f t="shared" si="58"/>
        <v>5.16</v>
      </c>
      <c r="C131" s="139">
        <f t="shared" si="92"/>
        <v>144543.97707459307</v>
      </c>
      <c r="D131" s="139">
        <f t="shared" si="93"/>
        <v>908196.59299638611</v>
      </c>
      <c r="E131" s="32" t="str">
        <f t="shared" si="94"/>
        <v>908196.592996386i</v>
      </c>
      <c r="F131"/>
      <c r="G131" s="153" t="str">
        <f t="shared" si="75"/>
        <v>0.04+0.0228420386277058i</v>
      </c>
      <c r="H131" s="153" t="str">
        <f t="shared" si="76"/>
        <v>1+16.9234198702885i</v>
      </c>
      <c r="I131" t="str">
        <f t="shared" si="52"/>
        <v>0.0014842109743253-0.00227588686689117i</v>
      </c>
      <c r="J131"/>
      <c r="K131" t="str">
        <f t="shared" si="53"/>
        <v>0.04+0.0228420386277058i</v>
      </c>
      <c r="L131" t="str">
        <f t="shared" si="77"/>
        <v>5.43580907071529+91.9924792384375i</v>
      </c>
      <c r="M131" t="str">
        <f t="shared" si="54"/>
        <v>0.000273043249867125-0.000418684107054499i</v>
      </c>
      <c r="N131" s="153" t="str">
        <f t="shared" si="78"/>
        <v>0.0011+0.199803250459205i</v>
      </c>
      <c r="O131" s="135" t="str">
        <f t="shared" si="79"/>
        <v>0.000242+0.0439567151010251i</v>
      </c>
      <c r="Q131" s="135" t="str">
        <f t="shared" si="80"/>
        <v>-0.908196592996386i</v>
      </c>
      <c r="R131" s="135" t="str">
        <f t="shared" si="81"/>
        <v>-0.334287380936648</v>
      </c>
      <c r="S131" s="64" t="str">
        <f t="shared" si="55"/>
        <v>0.665712619063352-0.908196592996386i</v>
      </c>
      <c r="T131" s="135" t="str">
        <f t="shared" si="82"/>
        <v>0.00665712619063352-0.00908196592996386i</v>
      </c>
      <c r="U131" s="64" t="str">
        <f t="shared" si="56"/>
        <v>0.00717216944050064+0.0344560650640067i</v>
      </c>
      <c r="W131" s="64" t="str">
        <f t="shared" si="57"/>
        <v>-0.0547148286169061-0.0544645766307791i</v>
      </c>
      <c r="X131" s="172">
        <f t="shared" si="95"/>
        <v>7.7201700616938596E-2</v>
      </c>
      <c r="Y131" s="188">
        <f t="shared" si="96"/>
        <v>-22.247462656389544</v>
      </c>
      <c r="Z131" s="161">
        <f t="shared" si="97"/>
        <v>-135.13132840829329</v>
      </c>
      <c r="AA131" s="161">
        <f t="shared" si="120"/>
        <v>-135.13132840829329</v>
      </c>
      <c r="AB131" s="199"/>
      <c r="AC131" s="64" t="str">
        <f t="shared" si="84"/>
        <v>-110108.318805814i</v>
      </c>
      <c r="AD131" s="64" t="str">
        <f t="shared" si="85"/>
        <v>22000-11010.8318805814i</v>
      </c>
      <c r="AE131" s="64" t="str">
        <f t="shared" si="98"/>
        <v>17601.1076180728-13206.9003585043i</v>
      </c>
      <c r="AF131" s="64" t="str">
        <f t="shared" si="86"/>
        <v>10000</v>
      </c>
      <c r="AG131" s="64" t="str">
        <f t="shared" si="87"/>
        <v>-2823.2902257901i</v>
      </c>
      <c r="AH131" s="64" t="str">
        <f t="shared" si="99"/>
        <v>738.251019594469-2614.86053701004i</v>
      </c>
      <c r="AI131" s="64" t="str">
        <f t="shared" si="100"/>
        <v>6.43795090656544+4.91356369311118i</v>
      </c>
      <c r="AJ131" s="161">
        <f t="shared" si="101"/>
        <v>8.0987850966430237</v>
      </c>
      <c r="AK131" s="161">
        <f t="shared" si="102"/>
        <v>18.168397500050212</v>
      </c>
      <c r="AL131" s="161">
        <f t="shared" si="103"/>
        <v>37.351545953297894</v>
      </c>
      <c r="AN131" s="64" t="str">
        <f t="shared" si="104"/>
        <v>-0.0846362142031155-0.619485065862658i</v>
      </c>
      <c r="AO131" s="161">
        <f t="shared" si="105"/>
        <v>0.6252399823919591</v>
      </c>
      <c r="AP131" s="161">
        <f t="shared" si="106"/>
        <v>-4.079065156339329</v>
      </c>
      <c r="AQ131" s="161">
        <f t="shared" si="107"/>
        <v>-97.779782454995399</v>
      </c>
      <c r="AR131" s="64">
        <f t="shared" si="108"/>
        <v>82.220217545004601</v>
      </c>
      <c r="AT131" s="135" t="str">
        <f t="shared" si="88"/>
        <v>-34457.6078265476i</v>
      </c>
      <c r="AU131" s="135" t="str">
        <f t="shared" si="89"/>
        <v>27456.1383070198-6167.65696518875i</v>
      </c>
      <c r="AV131" s="135" t="str">
        <f t="shared" si="109"/>
        <v>13559.0660142543-14395.0396314828i</v>
      </c>
      <c r="AW131" s="135" t="str">
        <f t="shared" si="90"/>
        <v>10000</v>
      </c>
      <c r="AX131" s="135" t="str">
        <f t="shared" si="91"/>
        <v>1789.92604368691-2648.45036360464i</v>
      </c>
      <c r="AY131" s="135" t="str">
        <f t="shared" si="110"/>
        <v>1925.62874744185-1813.80030718405i</v>
      </c>
      <c r="AZ131" s="135" t="str">
        <f t="shared" si="111"/>
        <v>7.46214193879453-0.446713465297531i</v>
      </c>
      <c r="BA131" s="182">
        <f t="shared" si="112"/>
        <v>7.4755010022602715</v>
      </c>
      <c r="BB131" s="182">
        <f t="shared" si="113"/>
        <v>17.472806081001689</v>
      </c>
      <c r="BC131" s="182">
        <f t="shared" si="114"/>
        <v>-3.4258644966805996</v>
      </c>
      <c r="BE131" s="135" t="str">
        <f t="shared" si="115"/>
        <v>-0.432619877058868-0.381980550760607i</v>
      </c>
      <c r="BF131" s="161">
        <f t="shared" si="116"/>
        <v>0.57712139033812171</v>
      </c>
      <c r="BG131" s="161">
        <f t="shared" si="117"/>
        <v>-4.7746565753878585</v>
      </c>
      <c r="BH131" s="161">
        <f t="shared" si="118"/>
        <v>-138.55719290497385</v>
      </c>
      <c r="BI131" s="64">
        <f t="shared" si="119"/>
        <v>41.442807095026154</v>
      </c>
      <c r="BS131" s="64">
        <v>173780.08287493701</v>
      </c>
      <c r="BT131" s="64">
        <v>-24.888704109717299</v>
      </c>
      <c r="BU131" s="64">
        <v>-149.16229344925401</v>
      </c>
      <c r="BV131" s="186">
        <v>144543.97707459307</v>
      </c>
      <c r="BW131" s="64">
        <v>-22.032261927733316</v>
      </c>
      <c r="BX131" s="64">
        <v>-143.79897323339912</v>
      </c>
      <c r="BZ131" s="64">
        <v>173780.08287493701</v>
      </c>
      <c r="CA131" s="64">
        <v>-26.142724603549699</v>
      </c>
      <c r="CB131" s="64">
        <v>-139.13851621529599</v>
      </c>
      <c r="CC131" s="186">
        <v>144543.97707459307</v>
      </c>
      <c r="CD131" s="64">
        <v>-23.153006317978758</v>
      </c>
      <c r="CE131" s="64">
        <v>-132.86637180128091</v>
      </c>
      <c r="CG131" s="64">
        <v>173780.08287493701</v>
      </c>
      <c r="CH131" s="64">
        <v>-40.115716987092298</v>
      </c>
      <c r="CI131" s="64">
        <v>-163.624385669221</v>
      </c>
      <c r="CJ131" s="64">
        <v>144543.97707459307</v>
      </c>
      <c r="CK131" s="64">
        <v>-38.924466501933523</v>
      </c>
      <c r="CL131" s="64">
        <v>-169.59599427766477</v>
      </c>
      <c r="CN131" s="64">
        <v>173780.08287493701</v>
      </c>
      <c r="CO131" s="64">
        <v>-26.4086222854868</v>
      </c>
      <c r="CP131" s="64">
        <v>-151.57531751930799</v>
      </c>
      <c r="CQ131" s="186">
        <v>144543.97707459307</v>
      </c>
      <c r="CR131" s="64">
        <v>-25.920426868394113</v>
      </c>
      <c r="CS131" s="64">
        <v>-142.09916089046973</v>
      </c>
      <c r="CU131" s="64">
        <v>173780.08287493701</v>
      </c>
      <c r="CV131" s="64">
        <v>-27.9122629129036</v>
      </c>
      <c r="CW131" s="64">
        <v>-144.69645535486299</v>
      </c>
      <c r="CX131" s="139">
        <v>144543.97707459307</v>
      </c>
      <c r="CY131" s="64">
        <v>-24.578161184868556</v>
      </c>
      <c r="CZ131" s="64">
        <v>-137.86630505171254</v>
      </c>
    </row>
    <row r="132" spans="2:104">
      <c r="B132" s="135">
        <f t="shared" si="58"/>
        <v>5.2</v>
      </c>
      <c r="C132" s="139">
        <f t="shared" si="92"/>
        <v>158489.31924611164</v>
      </c>
      <c r="D132" s="139">
        <f t="shared" si="93"/>
        <v>995817.76203206345</v>
      </c>
      <c r="E132" s="32" t="str">
        <f t="shared" si="94"/>
        <v>995817.762032063i</v>
      </c>
      <c r="F132"/>
      <c r="G132" s="153" t="str">
        <f t="shared" si="75"/>
        <v>0.04+0.0223169191929687i</v>
      </c>
      <c r="H132" s="153" t="str">
        <f t="shared" si="76"/>
        <v>1+17.773622335462i</v>
      </c>
      <c r="I132" t="str">
        <f t="shared" si="52"/>
        <v>0.00137788014721347-0.00217300216713436i</v>
      </c>
      <c r="J132"/>
      <c r="K132" t="str">
        <f t="shared" si="53"/>
        <v>0.04+0.0223169191929687i</v>
      </c>
      <c r="L132" t="str">
        <f t="shared" si="77"/>
        <v>5.43580907071529+96.6140175105722i</v>
      </c>
      <c r="M132" t="str">
        <f t="shared" si="54"/>
        <v>0.000253482072178845-0.000399756897062688i</v>
      </c>
      <c r="N132" s="153" t="str">
        <f t="shared" si="78"/>
        <v>0.0011+0.219079907647054i</v>
      </c>
      <c r="O132" s="135" t="str">
        <f t="shared" si="79"/>
        <v>0.000242+0.0481975796823519i</v>
      </c>
      <c r="Q132" s="135" t="str">
        <f t="shared" si="80"/>
        <v>-0.995817762032063i</v>
      </c>
      <c r="R132" s="135" t="str">
        <f t="shared" si="81"/>
        <v>-0.401901829041534</v>
      </c>
      <c r="S132" s="64" t="str">
        <f t="shared" si="55"/>
        <v>0.598098170958466-0.995817762032063i</v>
      </c>
      <c r="T132" s="135" t="str">
        <f t="shared" si="82"/>
        <v>0.00598098170958466-0.00995817762032063i</v>
      </c>
      <c r="U132" s="64" t="str">
        <f t="shared" si="56"/>
        <v>0.0064764637817635+0.0378396451649686i</v>
      </c>
      <c r="W132" s="64" t="str">
        <f t="shared" si="57"/>
        <v>-0.0497371890557989-0.0449264585682191i</v>
      </c>
      <c r="X132" s="172">
        <f t="shared" si="95"/>
        <v>6.702368726543019E-2</v>
      </c>
      <c r="Y132" s="188">
        <f t="shared" si="96"/>
        <v>-23.475433668188636</v>
      </c>
      <c r="Z132" s="161">
        <f t="shared" si="97"/>
        <v>-137.9092227427021</v>
      </c>
      <c r="AA132" s="161">
        <f t="shared" si="120"/>
        <v>-137.9092227427021</v>
      </c>
      <c r="AB132" s="199"/>
      <c r="AC132" s="64" t="str">
        <f t="shared" si="84"/>
        <v>-100419.980254158i</v>
      </c>
      <c r="AD132" s="64" t="str">
        <f t="shared" si="85"/>
        <v>22000-10041.9980254158i</v>
      </c>
      <c r="AE132" s="64" t="str">
        <f t="shared" si="98"/>
        <v>17488.1318352476-12612.087575274i</v>
      </c>
      <c r="AF132" s="64" t="str">
        <f t="shared" si="86"/>
        <v>10000</v>
      </c>
      <c r="AG132" s="64" t="str">
        <f t="shared" si="87"/>
        <v>-2574.87128856816i</v>
      </c>
      <c r="AH132" s="64" t="str">
        <f t="shared" si="99"/>
        <v>621.772906868206-2414.77276797771i</v>
      </c>
      <c r="AI132" s="64" t="str">
        <f t="shared" si="100"/>
        <v>6.64695610479184+5.53063824192881i</v>
      </c>
      <c r="AJ132" s="161">
        <f t="shared" si="101"/>
        <v>8.6469639077606271</v>
      </c>
      <c r="AK132" s="161">
        <f t="shared" si="102"/>
        <v>18.73727292487359</v>
      </c>
      <c r="AL132" s="161">
        <f t="shared" si="103"/>
        <v>39.762344854391323</v>
      </c>
      <c r="AN132" s="64" t="str">
        <f t="shared" si="104"/>
        <v>-0.0821289225978056-0.573702597884746i</v>
      </c>
      <c r="AO132" s="161">
        <f t="shared" si="105"/>
        <v>0.57955140474921019</v>
      </c>
      <c r="AP132" s="161">
        <f t="shared" si="106"/>
        <v>-4.738160743315051</v>
      </c>
      <c r="AQ132" s="161">
        <f t="shared" si="107"/>
        <v>-98.146877888310783</v>
      </c>
      <c r="AR132" s="64">
        <f t="shared" si="108"/>
        <v>81.853122111689217</v>
      </c>
      <c r="AT132" s="135" t="str">
        <f t="shared" si="88"/>
        <v>-31425.7118360865i</v>
      </c>
      <c r="AU132" s="135" t="str">
        <f t="shared" si="89"/>
        <v>27456.1383070198-5624.97000568112i</v>
      </c>
      <c r="AV132" s="135" t="str">
        <f t="shared" si="109"/>
        <v>12750.4470573618-14219.6229105426i</v>
      </c>
      <c r="AW132" s="135" t="str">
        <f t="shared" si="90"/>
        <v>10000</v>
      </c>
      <c r="AX132" s="135" t="str">
        <f t="shared" si="91"/>
        <v>1789.92604368691-2415.41543910353i</v>
      </c>
      <c r="AY132" s="135" t="str">
        <f t="shared" si="110"/>
        <v>1859.84272485133-1667.68319718623i</v>
      </c>
      <c r="AZ132" s="135" t="str">
        <f t="shared" si="111"/>
        <v>7.60036339011643-0.830513554558508i</v>
      </c>
      <c r="BA132" s="182">
        <f t="shared" si="112"/>
        <v>7.6456050398989035</v>
      </c>
      <c r="BB132" s="182">
        <f t="shared" si="113"/>
        <v>17.668237185658974</v>
      </c>
      <c r="BC132" s="182">
        <f t="shared" si="114"/>
        <v>-6.2361320927535653</v>
      </c>
      <c r="BE132" s="135" t="str">
        <f t="shared" si="115"/>
        <v>-0.415332743626211-0.300150001272995i</v>
      </c>
      <c r="BF132" s="161">
        <f t="shared" si="116"/>
        <v>0.5124366411491813</v>
      </c>
      <c r="BG132" s="161">
        <f t="shared" si="117"/>
        <v>-5.8071964825296565</v>
      </c>
      <c r="BH132" s="161">
        <f t="shared" si="118"/>
        <v>-144.14535483545569</v>
      </c>
      <c r="BI132" s="64">
        <f t="shared" si="119"/>
        <v>35.854645164544308</v>
      </c>
      <c r="BS132" s="64">
        <v>190546.07179632399</v>
      </c>
      <c r="BT132" s="64">
        <v>-26.650935316061101</v>
      </c>
      <c r="BU132" s="64">
        <v>-150.440954761738</v>
      </c>
      <c r="BV132" s="186">
        <v>158489.31924611164</v>
      </c>
      <c r="BW132" s="64">
        <v>-23.634631506253029</v>
      </c>
      <c r="BX132" s="64">
        <v>-145.20653121596976</v>
      </c>
      <c r="BZ132" s="64">
        <v>190546.07179632399</v>
      </c>
      <c r="CA132" s="64">
        <v>-27.555070558115101</v>
      </c>
      <c r="CB132" s="64">
        <v>-141.271598589783</v>
      </c>
      <c r="CC132" s="186">
        <v>158489.31924611164</v>
      </c>
      <c r="CD132" s="64">
        <v>-24.497382447228091</v>
      </c>
      <c r="CE132" s="64">
        <v>-135.31265003997459</v>
      </c>
      <c r="CG132" s="64">
        <v>190546.07179632399</v>
      </c>
      <c r="CH132" s="64">
        <v>-40.5415596054521</v>
      </c>
      <c r="CI132" s="64">
        <v>-167.297652623217</v>
      </c>
      <c r="CJ132" s="64">
        <v>158489.31924611164</v>
      </c>
      <c r="CK132" s="64">
        <v>-40.583213902077006</v>
      </c>
      <c r="CL132" s="64">
        <v>-169.25498337092156</v>
      </c>
      <c r="CN132" s="64">
        <v>190546.07179632399</v>
      </c>
      <c r="CO132" s="64">
        <v>-27.618267067576099</v>
      </c>
      <c r="CP132" s="64">
        <v>-156.86002613392799</v>
      </c>
      <c r="CQ132" s="186">
        <v>158489.31924611164</v>
      </c>
      <c r="CR132" s="64">
        <v>-27.325243179439074</v>
      </c>
      <c r="CS132" s="64">
        <v>-144.29586068980353</v>
      </c>
      <c r="CU132" s="64">
        <v>190546.07179632399</v>
      </c>
      <c r="CV132" s="64">
        <v>-29.432207674577299</v>
      </c>
      <c r="CW132" s="64">
        <v>-146.47209475314699</v>
      </c>
      <c r="CX132" s="139">
        <v>158489.31924611164</v>
      </c>
      <c r="CY132" s="64">
        <v>-26.002334479369587</v>
      </c>
      <c r="CZ132" s="64">
        <v>-140.04591991217461</v>
      </c>
    </row>
    <row r="133" spans="2:104">
      <c r="B133" s="135">
        <f t="shared" si="58"/>
        <v>5.24</v>
      </c>
      <c r="C133" s="139">
        <f t="shared" si="92"/>
        <v>173780.0828749378</v>
      </c>
      <c r="D133" s="139">
        <f t="shared" si="93"/>
        <v>1091892.4634002601</v>
      </c>
      <c r="E133" s="32" t="str">
        <f t="shared" si="94"/>
        <v>1091892.46340026i</v>
      </c>
      <c r="F133"/>
      <c r="G133" s="153" t="str">
        <f t="shared" si="75"/>
        <v>0.04+0.0216965027536298i</v>
      </c>
      <c r="H133" s="153" t="str">
        <f t="shared" si="76"/>
        <v>1+18.7097959743473i</v>
      </c>
      <c r="I133" t="str">
        <f t="shared" si="52"/>
        <v>0.001270271833242-0.00207002407828817i</v>
      </c>
      <c r="J133"/>
      <c r="K133" t="str">
        <f t="shared" si="53"/>
        <v>0.04+0.0216965027536298i</v>
      </c>
      <c r="L133" t="str">
        <f t="shared" si="77"/>
        <v>5.43580907071529+101.702878668589i</v>
      </c>
      <c r="M133" t="str">
        <f t="shared" si="54"/>
        <v>0.000233685881295101-0.00038081250672327i</v>
      </c>
      <c r="N133" s="153" t="str">
        <f t="shared" si="78"/>
        <v>0.0011+0.240216341948057i</v>
      </c>
      <c r="O133" s="135" t="str">
        <f t="shared" si="79"/>
        <v>0.000242+0.0528475952285725i</v>
      </c>
      <c r="Q133" s="135" t="str">
        <f t="shared" si="80"/>
        <v>-1.09189246340026i</v>
      </c>
      <c r="R133" s="135" t="str">
        <f t="shared" si="81"/>
        <v>-0.483192275264325</v>
      </c>
      <c r="S133" s="64" t="str">
        <f t="shared" si="55"/>
        <v>0.516807724735675-1.09189246340026i</v>
      </c>
      <c r="T133" s="135" t="str">
        <f t="shared" si="82"/>
        <v>0.00516807724735675-0.0109189246340026i</v>
      </c>
      <c r="U133" s="64" t="str">
        <f t="shared" si="56"/>
        <v>0.00564376312865185+0.0415478580878466i</v>
      </c>
      <c r="W133" s="64" t="str">
        <f t="shared" si="57"/>
        <v>-0.0448421613005402-0.0366649555454377i</v>
      </c>
      <c r="X133" s="172">
        <f t="shared" si="95"/>
        <v>5.792355647966195E-2</v>
      </c>
      <c r="Y133" s="188">
        <f t="shared" si="96"/>
        <v>-24.742895610225926</v>
      </c>
      <c r="Z133" s="161">
        <f t="shared" si="97"/>
        <v>-140.72903226738049</v>
      </c>
      <c r="AA133" s="161">
        <f t="shared" si="120"/>
        <v>-140.72903226738049</v>
      </c>
      <c r="AB133" s="199"/>
      <c r="AC133" s="64" t="str">
        <f t="shared" si="84"/>
        <v>-91584.1104796989i</v>
      </c>
      <c r="AD133" s="64" t="str">
        <f t="shared" si="85"/>
        <v>22000-9158.41104796989i</v>
      </c>
      <c r="AE133" s="64" t="str">
        <f t="shared" si="98"/>
        <v>17354.2103619372-12115.6145259195i</v>
      </c>
      <c r="AF133" s="64" t="str">
        <f t="shared" si="86"/>
        <v>10000</v>
      </c>
      <c r="AG133" s="64" t="str">
        <f t="shared" si="87"/>
        <v>-2348.31052512048i</v>
      </c>
      <c r="AH133" s="64" t="str">
        <f t="shared" si="99"/>
        <v>522.635189021806-2225.57955360266i</v>
      </c>
      <c r="AI133" s="64" t="str">
        <f t="shared" si="100"/>
        <v>6.89471083041626+6.17852183336821i</v>
      </c>
      <c r="AJ133" s="161">
        <f t="shared" si="101"/>
        <v>9.2580327003347183</v>
      </c>
      <c r="AK133" s="161">
        <f t="shared" si="102"/>
        <v>19.330374208455915</v>
      </c>
      <c r="AL133" s="161">
        <f t="shared" si="103"/>
        <v>41.86430807195039</v>
      </c>
      <c r="AN133" s="64" t="str">
        <f t="shared" si="104"/>
        <v>-0.0826385068211458-0.529852538746667i</v>
      </c>
      <c r="AO133" s="161">
        <f t="shared" si="105"/>
        <v>0.53625818000839565</v>
      </c>
      <c r="AP133" s="161">
        <f t="shared" si="106"/>
        <v>-5.4125214017700056</v>
      </c>
      <c r="AQ133" s="161">
        <f t="shared" si="107"/>
        <v>-98.864724195430099</v>
      </c>
      <c r="AR133" s="64">
        <f t="shared" si="108"/>
        <v>81.135275804569901</v>
      </c>
      <c r="AT133" s="135" t="str">
        <f t="shared" si="88"/>
        <v>-28660.5898289862i</v>
      </c>
      <c r="AU133" s="135" t="str">
        <f t="shared" si="89"/>
        <v>27456.1383070198-5130.03361623305i</v>
      </c>
      <c r="AV133" s="135" t="str">
        <f t="shared" si="109"/>
        <v>11897.4124312104-14018.2909397533i</v>
      </c>
      <c r="AW133" s="135" t="str">
        <f t="shared" si="90"/>
        <v>10000</v>
      </c>
      <c r="AX133" s="135" t="str">
        <f t="shared" si="91"/>
        <v>1789.92604368691-2202.88506201004i</v>
      </c>
      <c r="AY133" s="135" t="str">
        <f t="shared" si="110"/>
        <v>1804.30208763965-1531.32262551832i</v>
      </c>
      <c r="AZ133" s="135" t="str">
        <f t="shared" si="111"/>
        <v>7.66599358828957-1.26319285808104i</v>
      </c>
      <c r="BA133" s="182">
        <f t="shared" si="112"/>
        <v>7.769370237825183</v>
      </c>
      <c r="BB133" s="182">
        <f t="shared" si="113"/>
        <v>17.807716352024009</v>
      </c>
      <c r="BC133" s="182">
        <f t="shared" si="114"/>
        <v>-9.3570440672334172</v>
      </c>
      <c r="BE133" s="135" t="str">
        <f t="shared" si="115"/>
        <v>-0.390074631001844-0.224429016230487i</v>
      </c>
      <c r="BF133" s="161">
        <f t="shared" si="116"/>
        <v>0.45002955578207182</v>
      </c>
      <c r="BG133" s="161">
        <f t="shared" si="117"/>
        <v>-6.9351792582019121</v>
      </c>
      <c r="BH133" s="161">
        <f t="shared" si="118"/>
        <v>-150.08607633461395</v>
      </c>
      <c r="BI133" s="64">
        <f t="shared" si="119"/>
        <v>29.913923665386051</v>
      </c>
      <c r="BS133" s="64">
        <v>208929.61308540299</v>
      </c>
      <c r="BT133" s="64">
        <v>-28.506612809237499</v>
      </c>
      <c r="BU133" s="64">
        <v>-151.32144548033901</v>
      </c>
      <c r="BV133" s="186">
        <v>173780.0828749378</v>
      </c>
      <c r="BW133" s="64">
        <v>-25.309584140151156</v>
      </c>
      <c r="BX133" s="64">
        <v>-146.33252535046705</v>
      </c>
      <c r="BZ133" s="64">
        <v>208929.61308540299</v>
      </c>
      <c r="CA133" s="64">
        <v>-29.005776606087899</v>
      </c>
      <c r="CB133" s="64">
        <v>-143.21566620035199</v>
      </c>
      <c r="CC133" s="186">
        <v>173780.0828749378</v>
      </c>
      <c r="CD133" s="64">
        <v>-25.890544671042079</v>
      </c>
      <c r="CE133" s="64">
        <v>-137.61010930805202</v>
      </c>
      <c r="CG133" s="64">
        <v>208929.61308540299</v>
      </c>
      <c r="CH133" s="64">
        <v>-41.066704847896197</v>
      </c>
      <c r="CI133" s="64">
        <v>-178.76544785589701</v>
      </c>
      <c r="CJ133" s="64">
        <v>173780.0828749378</v>
      </c>
      <c r="CK133" s="64">
        <v>-42.253469458360591</v>
      </c>
      <c r="CL133" s="64">
        <v>-168.79501759867856</v>
      </c>
      <c r="CN133" s="64">
        <v>208929.61308540299</v>
      </c>
      <c r="CO133" s="64">
        <v>-28.927553159534</v>
      </c>
      <c r="CP133" s="64">
        <v>-163.203380400285</v>
      </c>
      <c r="CQ133" s="186">
        <v>173780.0828749378</v>
      </c>
      <c r="CR133" s="64">
        <v>-28.772125836267296</v>
      </c>
      <c r="CS133" s="64">
        <v>-146.38369810952733</v>
      </c>
      <c r="CU133" s="64">
        <v>208929.61308540299</v>
      </c>
      <c r="CV133" s="64">
        <v>-30.9892869786982</v>
      </c>
      <c r="CW133" s="64">
        <v>-147.996836606415</v>
      </c>
      <c r="CX133" s="139">
        <v>173780.0828749378</v>
      </c>
      <c r="CY133" s="64">
        <v>-27.4682871518607</v>
      </c>
      <c r="CZ133" s="64">
        <v>-142.027393698737</v>
      </c>
    </row>
    <row r="134" spans="2:104">
      <c r="B134" s="135">
        <f t="shared" si="58"/>
        <v>5.28</v>
      </c>
      <c r="C134" s="139">
        <f t="shared" si="92"/>
        <v>190546.07179632492</v>
      </c>
      <c r="D134" s="139">
        <f t="shared" si="93"/>
        <v>1197236.2786514552</v>
      </c>
      <c r="E134" s="32" t="str">
        <f t="shared" si="94"/>
        <v>1197236.27865146i</v>
      </c>
      <c r="F134"/>
      <c r="G134" s="153" t="str">
        <f t="shared" si="75"/>
        <v>0.04+0.0210116119657656i</v>
      </c>
      <c r="H134" s="153" t="str">
        <f t="shared" si="76"/>
        <v>1+19.7584299816681i</v>
      </c>
      <c r="I134" t="str">
        <f t="shared" si="52"/>
        <v>0.00116290657269118-0.00196559612597468i</v>
      </c>
      <c r="J134"/>
      <c r="K134" t="str">
        <f t="shared" si="53"/>
        <v>0.04+0.0210116119657656i</v>
      </c>
      <c r="L134" t="str">
        <f t="shared" si="77"/>
        <v>5.43580907071529+107.403052917444i</v>
      </c>
      <c r="M134" t="str">
        <f t="shared" si="54"/>
        <v>0.000213934403795783-0.00036160139188186i</v>
      </c>
      <c r="N134" s="153" t="str">
        <f t="shared" si="78"/>
        <v>0.0011+0.263391981303321i</v>
      </c>
      <c r="O134" s="135" t="str">
        <f t="shared" si="79"/>
        <v>0.000242+0.0579462358867306i</v>
      </c>
      <c r="Q134" s="135" t="str">
        <f t="shared" si="80"/>
        <v>-1.19723627865146i</v>
      </c>
      <c r="R134" s="135" t="str">
        <f t="shared" si="81"/>
        <v>-0.580924887632169</v>
      </c>
      <c r="S134" s="64" t="str">
        <f t="shared" si="55"/>
        <v>0.419075112367831-1.19723627865146i</v>
      </c>
      <c r="T134" s="135" t="str">
        <f t="shared" si="82"/>
        <v>0.00419075112367831-0.0119723627865146i</v>
      </c>
      <c r="U134" s="64" t="str">
        <f t="shared" si="56"/>
        <v>0.00464668552747409+0.0456122717083341i</v>
      </c>
      <c r="W134" s="64" t="str">
        <f t="shared" si="57"/>
        <v>-0.0400803030691561-0.0295785999330722i</v>
      </c>
      <c r="X134" s="172">
        <f t="shared" si="95"/>
        <v>4.9812892589330152E-2</v>
      </c>
      <c r="Y134" s="188">
        <f t="shared" si="96"/>
        <v>-26.053164769002379</v>
      </c>
      <c r="Z134" s="161">
        <f t="shared" si="97"/>
        <v>-143.57328867437218</v>
      </c>
      <c r="AA134" s="161">
        <f t="shared" si="120"/>
        <v>-143.57328867437218</v>
      </c>
      <c r="AB134" s="199"/>
      <c r="AC134" s="64" t="str">
        <f t="shared" si="84"/>
        <v>-83525.7014702546i</v>
      </c>
      <c r="AD134" s="64" t="str">
        <f t="shared" si="85"/>
        <v>22000-8352.57014702546i</v>
      </c>
      <c r="AE134" s="64" t="str">
        <f t="shared" si="98"/>
        <v>17195.8919201668-11710.7547183236i</v>
      </c>
      <c r="AF134" s="64" t="str">
        <f t="shared" si="86"/>
        <v>10000</v>
      </c>
      <c r="AG134" s="64" t="str">
        <f t="shared" si="87"/>
        <v>-2141.68465308345i</v>
      </c>
      <c r="AH134" s="64" t="str">
        <f t="shared" si="99"/>
        <v>438.565151280786-2047.75782769592i</v>
      </c>
      <c r="AI134" s="64" t="str">
        <f t="shared" si="100"/>
        <v>7.18759994769132+6.85806733189897i</v>
      </c>
      <c r="AJ134" s="161">
        <f t="shared" si="101"/>
        <v>9.9345196429878833</v>
      </c>
      <c r="AK134" s="161">
        <f t="shared" si="102"/>
        <v>19.942937456207737</v>
      </c>
      <c r="AL134" s="161">
        <f t="shared" si="103"/>
        <v>43.656000843972187</v>
      </c>
      <c r="AN134" s="64" t="str">
        <f t="shared" si="104"/>
        <v>-0.0852291543190071-0.487472560462922i</v>
      </c>
      <c r="AO134" s="161">
        <f t="shared" si="105"/>
        <v>0.49486715990274627</v>
      </c>
      <c r="AP134" s="161">
        <f t="shared" si="106"/>
        <v>-6.1102273127946365</v>
      </c>
      <c r="AQ134" s="161">
        <f t="shared" si="107"/>
        <v>-99.917287830399971</v>
      </c>
      <c r="AR134" s="64">
        <f t="shared" si="108"/>
        <v>80.082712169600029</v>
      </c>
      <c r="AT134" s="135" t="str">
        <f t="shared" si="88"/>
        <v>-26138.7685863692i</v>
      </c>
      <c r="AU134" s="135" t="str">
        <f t="shared" si="89"/>
        <v>27456.1383070198-4678.64626426474i</v>
      </c>
      <c r="AV134" s="135" t="str">
        <f t="shared" si="109"/>
        <v>11011.6945657842-13778.9838326816i</v>
      </c>
      <c r="AW134" s="135" t="str">
        <f t="shared" si="90"/>
        <v>10000</v>
      </c>
      <c r="AX134" s="135" t="str">
        <f t="shared" si="91"/>
        <v>1789.92604368691-2009.05505440837i</v>
      </c>
      <c r="AY134" s="135" t="str">
        <f t="shared" si="110"/>
        <v>1757.52472683759-1404.55390025538i</v>
      </c>
      <c r="AZ134" s="135" t="str">
        <f t="shared" si="111"/>
        <v>7.64701976762336-1.72875655536481i</v>
      </c>
      <c r="BA134" s="182">
        <f t="shared" si="112"/>
        <v>7.8399942955425175</v>
      </c>
      <c r="BB134" s="182">
        <f t="shared" si="113"/>
        <v>17.886314933751759</v>
      </c>
      <c r="BC134" s="182">
        <f t="shared" si="114"/>
        <v>-12.738685405544437</v>
      </c>
      <c r="BE134" s="135" t="str">
        <f t="shared" si="115"/>
        <v>-0.357629068394984-0.156899051715014i</v>
      </c>
      <c r="BF134" s="161">
        <f t="shared" si="116"/>
        <v>0.39053279374482086</v>
      </c>
      <c r="BG134" s="161">
        <f t="shared" si="117"/>
        <v>-8.1668498352506127</v>
      </c>
      <c r="BH134" s="161">
        <f t="shared" si="118"/>
        <v>-156.31197407991667</v>
      </c>
      <c r="BI134" s="64">
        <f t="shared" si="119"/>
        <v>23.688025920083334</v>
      </c>
      <c r="BS134" s="64">
        <v>229086.76527677701</v>
      </c>
      <c r="BT134" s="64">
        <v>-30.4751295268128</v>
      </c>
      <c r="BU134" s="64">
        <v>-151.729101874609</v>
      </c>
      <c r="BV134" s="186">
        <v>190546.07179632492</v>
      </c>
      <c r="BW134" s="64">
        <v>-27.06619579739305</v>
      </c>
      <c r="BX134" s="64">
        <v>-147.09042568741975</v>
      </c>
      <c r="BZ134" s="64">
        <v>229086.76527677701</v>
      </c>
      <c r="CA134" s="64">
        <v>-30.492316924853299</v>
      </c>
      <c r="CB134" s="64">
        <v>-144.94672181128399</v>
      </c>
      <c r="CC134" s="186">
        <v>190546.07179632492</v>
      </c>
      <c r="CD134" s="64">
        <v>-27.333164913180475</v>
      </c>
      <c r="CE134" s="64">
        <v>-139.72811804992205</v>
      </c>
      <c r="CG134" s="64">
        <v>229086.76527677701</v>
      </c>
      <c r="CH134" s="64">
        <v>-43.166009973460902</v>
      </c>
      <c r="CI134" s="64">
        <v>-195.872050604062</v>
      </c>
      <c r="CJ134" s="64">
        <v>190546.07179632492</v>
      </c>
      <c r="CK134" s="64">
        <v>-43.937680328008931</v>
      </c>
      <c r="CL134" s="64">
        <v>-168.2027965077649</v>
      </c>
      <c r="CN134" s="64">
        <v>229086.76527677701</v>
      </c>
      <c r="CO134" s="64">
        <v>-30.429445122382599</v>
      </c>
      <c r="CP134" s="64">
        <v>-170.73337438140999</v>
      </c>
      <c r="CQ134" s="186">
        <v>190546.07179632492</v>
      </c>
      <c r="CR134" s="64">
        <v>-30.262880712674381</v>
      </c>
      <c r="CS134" s="64">
        <v>-148.3374942621777</v>
      </c>
      <c r="CU134" s="64">
        <v>229086.76527677701</v>
      </c>
      <c r="CV134" s="64">
        <v>-32.584334815482798</v>
      </c>
      <c r="CW134" s="64">
        <v>-149.25986325448099</v>
      </c>
      <c r="CX134" s="139">
        <v>190546.07179632492</v>
      </c>
      <c r="CY134" s="64">
        <v>-28.975919063481193</v>
      </c>
      <c r="CZ134" s="64">
        <v>-143.78835785126131</v>
      </c>
    </row>
    <row r="135" spans="2:104">
      <c r="B135" s="135">
        <f t="shared" si="58"/>
        <v>5.32</v>
      </c>
      <c r="C135" s="139">
        <f t="shared" si="92"/>
        <v>208929.61308540447</v>
      </c>
      <c r="D135" s="139">
        <f t="shared" si="93"/>
        <v>1312743.4751729292</v>
      </c>
      <c r="E135" s="32" t="str">
        <f t="shared" si="94"/>
        <v>1312743.47517293i</v>
      </c>
      <c r="F135"/>
      <c r="G135" s="153" t="str">
        <f t="shared" si="75"/>
        <v>0.04+0.0202941356276299i</v>
      </c>
      <c r="H135" s="153" t="str">
        <f t="shared" si="76"/>
        <v>1+20.9500777661793i</v>
      </c>
      <c r="I135" t="str">
        <f t="shared" si="52"/>
        <v>0.00105741675507642-0.00185882762248217i</v>
      </c>
      <c r="J135"/>
      <c r="K135" t="str">
        <f t="shared" si="53"/>
        <v>0.04+0.0202941356276299i</v>
      </c>
      <c r="L135" t="str">
        <f t="shared" si="77"/>
        <v>5.43580907071529+113.880622753588i</v>
      </c>
      <c r="M135" t="str">
        <f t="shared" si="54"/>
        <v>0.000194527942633806-0.000341959696946745i</v>
      </c>
      <c r="N135" s="153" t="str">
        <f t="shared" si="78"/>
        <v>0.0011+0.288803564538045i</v>
      </c>
      <c r="O135" s="135" t="str">
        <f t="shared" si="79"/>
        <v>0.000242+0.0635367841983699i</v>
      </c>
      <c r="Q135" s="135" t="str">
        <f t="shared" si="80"/>
        <v>-1.31274347517293i</v>
      </c>
      <c r="R135" s="135" t="str">
        <f t="shared" si="81"/>
        <v>-0.698425331584269</v>
      </c>
      <c r="S135" s="64" t="str">
        <f t="shared" si="55"/>
        <v>0.301574668415731-1.31274347517293i</v>
      </c>
      <c r="T135" s="135" t="str">
        <f t="shared" si="82"/>
        <v>0.00301574668415731-0.0131274347517293i</v>
      </c>
      <c r="U135" s="64" t="str">
        <f t="shared" si="56"/>
        <v>0.00345227462679112+0.0500673897496939i</v>
      </c>
      <c r="W135" s="64" t="str">
        <f t="shared" si="57"/>
        <v>-0.0355014543775138-0.0235677859608271i</v>
      </c>
      <c r="X135" s="172">
        <f t="shared" si="95"/>
        <v>4.2612132051964409E-2</v>
      </c>
      <c r="Y135" s="188">
        <f t="shared" si="96"/>
        <v>-27.409334716019696</v>
      </c>
      <c r="Z135" s="161">
        <f t="shared" si="97"/>
        <v>-146.42164157486746</v>
      </c>
      <c r="AA135" s="161">
        <f t="shared" si="120"/>
        <v>-146.42164157486746</v>
      </c>
      <c r="AB135" s="199"/>
      <c r="AC135" s="64" t="str">
        <f t="shared" si="84"/>
        <v>-76176.3451056779i</v>
      </c>
      <c r="AD135" s="64" t="str">
        <f t="shared" si="85"/>
        <v>22000-7617.63451056779i</v>
      </c>
      <c r="AE135" s="64" t="str">
        <f t="shared" si="98"/>
        <v>17009.3338865611-11390.9006976585i</v>
      </c>
      <c r="AF135" s="64" t="str">
        <f t="shared" si="86"/>
        <v>10000</v>
      </c>
      <c r="AG135" s="64" t="str">
        <f t="shared" si="87"/>
        <v>-1953.23961809431i</v>
      </c>
      <c r="AH135" s="64" t="str">
        <f t="shared" si="99"/>
        <v>367.494068951499-1881.45922060524i</v>
      </c>
      <c r="AI135" s="64" t="str">
        <f t="shared" si="100"/>
        <v>7.53273230986172+7.56917784011626i</v>
      </c>
      <c r="AJ135" s="161">
        <f t="shared" si="101"/>
        <v>10.678694172385578</v>
      </c>
      <c r="AK135" s="161">
        <f t="shared" si="102"/>
        <v>20.570362978195021</v>
      </c>
      <c r="AL135" s="161">
        <f t="shared" si="103"/>
        <v>45.13827197957756</v>
      </c>
      <c r="AN135" s="64" t="str">
        <f t="shared" si="104"/>
        <v>-0.0890341892012844-0.446246644545204i</v>
      </c>
      <c r="AO135" s="161">
        <f t="shared" si="105"/>
        <v>0.45504192621623757</v>
      </c>
      <c r="AP135" s="161">
        <f t="shared" si="106"/>
        <v>-6.8389717378246644</v>
      </c>
      <c r="AQ135" s="161">
        <f t="shared" si="107"/>
        <v>-101.28336959528988</v>
      </c>
      <c r="AR135" s="64">
        <f t="shared" si="108"/>
        <v>78.716630404710116</v>
      </c>
      <c r="AT135" s="135" t="str">
        <f t="shared" si="88"/>
        <v>-23838.8402781844i</v>
      </c>
      <c r="AU135" s="135" t="str">
        <f t="shared" si="89"/>
        <v>27456.1383070198-4266.97610652147i</v>
      </c>
      <c r="AV135" s="135" t="str">
        <f t="shared" si="109"/>
        <v>10107.0704126033-13492.6123408312i</v>
      </c>
      <c r="AW135" s="135" t="str">
        <f t="shared" si="90"/>
        <v>10000</v>
      </c>
      <c r="AX135" s="135" t="str">
        <f t="shared" si="91"/>
        <v>1789.92604368691-1832.27998648321i</v>
      </c>
      <c r="AY135" s="135" t="str">
        <f t="shared" si="110"/>
        <v>1718.20829684839-1287.07857315465i</v>
      </c>
      <c r="AZ135" s="135" t="str">
        <f t="shared" si="111"/>
        <v>7.53602272757859-2.20762463335552i</v>
      </c>
      <c r="BA135" s="182">
        <f t="shared" si="112"/>
        <v>7.8527221440962203</v>
      </c>
      <c r="BB135" s="182">
        <f t="shared" si="113"/>
        <v>17.900404618292271</v>
      </c>
      <c r="BC135" s="182">
        <f t="shared" si="114"/>
        <v>-16.327573492484536</v>
      </c>
      <c r="BE135" s="135" t="str">
        <f t="shared" si="115"/>
        <v>-0.319568591891811-0.099233485435754i</v>
      </c>
      <c r="BF135" s="161">
        <f t="shared" si="116"/>
        <v>0.3346212329716135</v>
      </c>
      <c r="BG135" s="161">
        <f t="shared" si="117"/>
        <v>-9.5089300977274185</v>
      </c>
      <c r="BH135" s="161">
        <f t="shared" si="118"/>
        <v>-162.74921506735203</v>
      </c>
      <c r="BI135" s="64">
        <f t="shared" si="119"/>
        <v>17.250784932647974</v>
      </c>
      <c r="BS135" s="64">
        <v>251188.64315095701</v>
      </c>
      <c r="BT135" s="64">
        <v>-32.568060907512901</v>
      </c>
      <c r="BU135" s="64">
        <v>-151.459902703518</v>
      </c>
      <c r="BV135" s="186">
        <v>208929.61308540447</v>
      </c>
      <c r="BW135" s="64">
        <v>-28.915581630143858</v>
      </c>
      <c r="BX135" s="64">
        <v>-147.36030182470913</v>
      </c>
      <c r="BZ135" s="64">
        <v>251188.64315095701</v>
      </c>
      <c r="CA135" s="64">
        <v>-32.011419690489703</v>
      </c>
      <c r="CB135" s="64">
        <v>-146.44348274009201</v>
      </c>
      <c r="CC135" s="186">
        <v>208929.61308540447</v>
      </c>
      <c r="CD135" s="64">
        <v>-28.826099827251642</v>
      </c>
      <c r="CE135" s="64">
        <v>-141.63447667843076</v>
      </c>
      <c r="CG135" s="64">
        <v>251188.64315095701</v>
      </c>
      <c r="CH135" s="64">
        <v>-46.651312661257698</v>
      </c>
      <c r="CI135" s="64">
        <v>-206.33654805974501</v>
      </c>
      <c r="CJ135" s="64">
        <v>208929.61308540447</v>
      </c>
      <c r="CK135" s="64">
        <v>-45.638779243122727</v>
      </c>
      <c r="CL135" s="64">
        <v>-167.46039060931781</v>
      </c>
      <c r="CN135" s="64">
        <v>251188.64315095701</v>
      </c>
      <c r="CO135" s="64">
        <v>-32.230890467415499</v>
      </c>
      <c r="CP135" s="64">
        <v>-179.18721184084399</v>
      </c>
      <c r="CQ135" s="186">
        <v>208929.61308540447</v>
      </c>
      <c r="CR135" s="64">
        <v>-31.799510393412525</v>
      </c>
      <c r="CS135" s="64">
        <v>-150.12928380993196</v>
      </c>
      <c r="CU135" s="64">
        <v>251188.64315095701</v>
      </c>
      <c r="CV135" s="64">
        <v>-34.2183010525778</v>
      </c>
      <c r="CW135" s="64">
        <v>-150.23244687515501</v>
      </c>
      <c r="CX135" s="139">
        <v>208929.61308540447</v>
      </c>
      <c r="CY135" s="64">
        <v>-30.525571729760038</v>
      </c>
      <c r="CZ135" s="64">
        <v>-145.30504728150473</v>
      </c>
    </row>
    <row r="136" spans="2:104">
      <c r="B136" s="135">
        <f t="shared" si="58"/>
        <v>5.36</v>
      </c>
      <c r="C136" s="139">
        <f t="shared" si="92"/>
        <v>229086.76527677779</v>
      </c>
      <c r="D136" s="139">
        <f t="shared" si="93"/>
        <v>1439394.5976563487</v>
      </c>
      <c r="E136" s="32" t="str">
        <f t="shared" si="94"/>
        <v>1439394.59765635i</v>
      </c>
      <c r="F136"/>
      <c r="G136" s="153" t="str">
        <f t="shared" si="75"/>
        <v>0.04+0.0195759388189727i</v>
      </c>
      <c r="H136" s="153" t="str">
        <f t="shared" si="76"/>
        <v>1+22.3201856084521i</v>
      </c>
      <c r="I136" t="str">
        <f t="shared" si="52"/>
        <v>0.000955423652045866-0.00174929442939618i</v>
      </c>
      <c r="J136"/>
      <c r="K136" t="str">
        <f t="shared" si="53"/>
        <v>0.04+0.0195759388189727i</v>
      </c>
      <c r="L136" t="str">
        <f t="shared" si="77"/>
        <v>5.43580907071529+121.328267390473i</v>
      </c>
      <c r="M136" t="str">
        <f t="shared" si="54"/>
        <v>0.000175764755460799-0.000321809395186501i</v>
      </c>
      <c r="N136" s="153" t="str">
        <f t="shared" si="78"/>
        <v>0.0011+0.316666811484397i</v>
      </c>
      <c r="O136" s="135" t="str">
        <f t="shared" si="79"/>
        <v>0.000242+0.0696666985265673i</v>
      </c>
      <c r="Q136" s="135" t="str">
        <f t="shared" si="80"/>
        <v>-1.43939459765635i</v>
      </c>
      <c r="R136" s="135" t="str">
        <f t="shared" si="81"/>
        <v>-0.839691936399643</v>
      </c>
      <c r="S136" s="64" t="str">
        <f t="shared" si="55"/>
        <v>0.160308063600357-1.43939459765635i</v>
      </c>
      <c r="T136" s="135" t="str">
        <f t="shared" si="82"/>
        <v>0.00160308063600357-0.0143939459765635i</v>
      </c>
      <c r="U136" s="64" t="str">
        <f t="shared" si="56"/>
        <v>0.00202084539146437+0.0549509431548173i</v>
      </c>
      <c r="W136" s="64" t="str">
        <f t="shared" si="57"/>
        <v>-0.0311522068104078-0.0185324834688183i</v>
      </c>
      <c r="X136" s="172">
        <f t="shared" si="95"/>
        <v>3.624793694378263E-2</v>
      </c>
      <c r="Y136" s="188">
        <f t="shared" si="96"/>
        <v>-28.814334126371648</v>
      </c>
      <c r="Z136" s="161">
        <f t="shared" si="97"/>
        <v>-149.25153773878699</v>
      </c>
      <c r="AA136" s="161">
        <f t="shared" si="120"/>
        <v>-149.25153773878699</v>
      </c>
      <c r="AB136" s="199"/>
      <c r="AC136" s="64" t="str">
        <f t="shared" si="84"/>
        <v>-69473.6524388948i</v>
      </c>
      <c r="AD136" s="64" t="str">
        <f t="shared" si="85"/>
        <v>22000-6947.36524388948i</v>
      </c>
      <c r="AE136" s="64" t="str">
        <f t="shared" si="98"/>
        <v>16790.3316633651-11149.3691231753i</v>
      </c>
      <c r="AF136" s="64" t="str">
        <f t="shared" si="86"/>
        <v>10000</v>
      </c>
      <c r="AG136" s="64" t="str">
        <f t="shared" si="87"/>
        <v>-1781.37570356141i</v>
      </c>
      <c r="AH136" s="64" t="str">
        <f t="shared" si="99"/>
        <v>307.569828218931-1726.58596164763i</v>
      </c>
      <c r="AI136" s="64" t="str">
        <f t="shared" si="100"/>
        <v>7.93788642277478+8.31054903643382i</v>
      </c>
      <c r="AJ136" s="161">
        <f t="shared" si="101"/>
        <v>11.492400364930004</v>
      </c>
      <c r="AK136" s="161">
        <f t="shared" si="102"/>
        <v>21.208214945164499</v>
      </c>
      <c r="AL136" s="161">
        <f t="shared" si="103"/>
        <v>46.31386509591708</v>
      </c>
      <c r="AN136" s="64" t="str">
        <f t="shared" si="104"/>
        <v>-0.0932675668452946-0.406000691198453i</v>
      </c>
      <c r="AO136" s="161">
        <f t="shared" si="105"/>
        <v>0.41657580376068781</v>
      </c>
      <c r="AP136" s="161">
        <f t="shared" si="106"/>
        <v>-7.6061191812071369</v>
      </c>
      <c r="AQ136" s="161">
        <f t="shared" si="107"/>
        <v>-102.93767264286993</v>
      </c>
      <c r="AR136" s="64">
        <f t="shared" si="108"/>
        <v>77.062327357130073</v>
      </c>
      <c r="AT136" s="135" t="str">
        <f t="shared" si="88"/>
        <v>-21741.2807313784i</v>
      </c>
      <c r="AU136" s="135" t="str">
        <f t="shared" si="89"/>
        <v>27456.1383070198-3891.52846042026i</v>
      </c>
      <c r="AV136" s="135" t="str">
        <f t="shared" si="109"/>
        <v>9198.55246319075-13153.593071405i</v>
      </c>
      <c r="AW136" s="135" t="str">
        <f t="shared" si="90"/>
        <v>10000</v>
      </c>
      <c r="AX136" s="135" t="str">
        <f t="shared" si="91"/>
        <v>1789.92604368691-1671.05920840759i</v>
      </c>
      <c r="AY136" s="135" t="str">
        <f t="shared" si="110"/>
        <v>1685.2194439026-1178.50532417843i</v>
      </c>
      <c r="AZ136" s="135" t="str">
        <f t="shared" si="111"/>
        <v>7.33136357217939-2.67831117450877i</v>
      </c>
      <c r="BA136" s="182">
        <f t="shared" si="112"/>
        <v>7.8052701794990735</v>
      </c>
      <c r="BB136" s="182">
        <f t="shared" si="113"/>
        <v>17.847758815322294</v>
      </c>
      <c r="BC136" s="182">
        <f t="shared" si="114"/>
        <v>-20.068379865640921</v>
      </c>
      <c r="BE136" s="135" t="str">
        <f t="shared" si="115"/>
        <v>-0.278023911768758-0.0524330705943878i</v>
      </c>
      <c r="BF136" s="161">
        <f t="shared" si="116"/>
        <v>0.28292494129566981</v>
      </c>
      <c r="BG136" s="161">
        <f t="shared" si="117"/>
        <v>-10.966575311049343</v>
      </c>
      <c r="BH136" s="161">
        <f t="shared" si="118"/>
        <v>-169.31991760442796</v>
      </c>
      <c r="BI136" s="64">
        <f t="shared" si="119"/>
        <v>10.680082395572043</v>
      </c>
      <c r="BS136" s="64">
        <v>275422.87033381598</v>
      </c>
      <c r="BT136" s="64">
        <v>-34.809287721563301</v>
      </c>
      <c r="BU136" s="64">
        <v>-150.317381817111</v>
      </c>
      <c r="BV136" s="186">
        <v>229086.76527677779</v>
      </c>
      <c r="BW136" s="64">
        <v>-30.870951084270189</v>
      </c>
      <c r="BX136" s="64">
        <v>-146.967652901104</v>
      </c>
      <c r="BZ136" s="64">
        <v>275422.87033381598</v>
      </c>
      <c r="CA136" s="64">
        <v>-33.557868174477498</v>
      </c>
      <c r="CB136" s="64">
        <v>-147.690559293565</v>
      </c>
      <c r="CC136" s="186">
        <v>229086.76527677779</v>
      </c>
      <c r="CD136" s="64">
        <v>-30.370602111062261</v>
      </c>
      <c r="CE136" s="64">
        <v>-143.29402390200613</v>
      </c>
      <c r="CG136" s="64">
        <v>275422.87033381598</v>
      </c>
      <c r="CH136" s="64">
        <v>-50.066544664440897</v>
      </c>
      <c r="CI136" s="64">
        <v>-210.546087767584</v>
      </c>
      <c r="CJ136" s="64">
        <v>229086.76527677779</v>
      </c>
      <c r="CK136" s="64">
        <v>-47.360275521019247</v>
      </c>
      <c r="CL136" s="64">
        <v>-166.54368953336893</v>
      </c>
      <c r="CN136" s="64">
        <v>275422.87033381598</v>
      </c>
      <c r="CO136" s="64">
        <v>-34.412017567413002</v>
      </c>
      <c r="CP136" s="64">
        <v>-187.894041666926</v>
      </c>
      <c r="CQ136" s="186">
        <v>229086.76527677779</v>
      </c>
      <c r="CR136" s="64">
        <v>-33.384405156111072</v>
      </c>
      <c r="CS136" s="64">
        <v>-151.72712554152221</v>
      </c>
      <c r="CU136" s="64">
        <v>275422.87033381598</v>
      </c>
      <c r="CV136" s="64">
        <v>-35.8934472794257</v>
      </c>
      <c r="CW136" s="64">
        <v>-150.89176859106399</v>
      </c>
      <c r="CX136" s="139">
        <v>229086.76527677779</v>
      </c>
      <c r="CY136" s="64">
        <v>-32.118212752144323</v>
      </c>
      <c r="CZ136" s="64">
        <v>-146.55053275737845</v>
      </c>
    </row>
    <row r="137" spans="2:104">
      <c r="B137" s="135">
        <f t="shared" si="58"/>
        <v>5.4</v>
      </c>
      <c r="C137" s="139">
        <f t="shared" si="92"/>
        <v>251188.64315095844</v>
      </c>
      <c r="D137" s="139">
        <f t="shared" si="93"/>
        <v>1578264.7919764782</v>
      </c>
      <c r="E137" s="32" t="str">
        <f t="shared" si="94"/>
        <v>1578264.79197648i</v>
      </c>
      <c r="F137"/>
      <c r="G137" s="153" t="str">
        <f t="shared" si="75"/>
        <v>0.04+0.0188883165465889i</v>
      </c>
      <c r="H137" s="153" t="str">
        <f t="shared" si="76"/>
        <v>1+23.910550064965i</v>
      </c>
      <c r="I137" t="str">
        <f t="shared" si="52"/>
        <v>0.000858420941825756-0.00163700035975026i</v>
      </c>
      <c r="J137"/>
      <c r="K137" t="str">
        <f t="shared" si="53"/>
        <v>0.04+0.0188883165465889i</v>
      </c>
      <c r="L137" t="str">
        <f t="shared" si="77"/>
        <v>5.43580907071529+129.973184928929i</v>
      </c>
      <c r="M137" t="str">
        <f t="shared" si="54"/>
        <v>0.000157919627172041-0.000301151188066811i</v>
      </c>
      <c r="N137" s="153" t="str">
        <f t="shared" si="78"/>
        <v>0.0011+0.347218254234826i</v>
      </c>
      <c r="O137" s="135" t="str">
        <f t="shared" si="79"/>
        <v>0.000242+0.0763880159316617i</v>
      </c>
      <c r="Q137" s="135" t="str">
        <f t="shared" si="80"/>
        <v>-1.57826479197648i</v>
      </c>
      <c r="R137" s="135" t="str">
        <f t="shared" si="81"/>
        <v>-1.00953175116831</v>
      </c>
      <c r="S137" s="64" t="str">
        <f t="shared" si="55"/>
        <v>-0.00953175116830995-1.57826479197648i</v>
      </c>
      <c r="T137" s="135" t="str">
        <f t="shared" si="82"/>
        <v>-0.0000953175116830995-0.0157826479197648i</v>
      </c>
      <c r="U137" s="64" t="str">
        <f t="shared" si="56"/>
        <v>0.000304602115488941+0.0603042168238301i</v>
      </c>
      <c r="W137" s="64" t="str">
        <f t="shared" si="57"/>
        <v>-0.0270731107885446-0.0143715898206033i</v>
      </c>
      <c r="X137" s="172">
        <f t="shared" si="95"/>
        <v>3.0651197721140982E-2</v>
      </c>
      <c r="Y137" s="188">
        <f t="shared" si="96"/>
        <v>-30.271051007890545</v>
      </c>
      <c r="Z137" s="161">
        <f t="shared" si="97"/>
        <v>-152.0386848141419</v>
      </c>
      <c r="AA137" s="161">
        <f t="shared" si="120"/>
        <v>-152.0386848141419</v>
      </c>
      <c r="AB137" s="199"/>
      <c r="AC137" s="64" t="str">
        <f t="shared" si="84"/>
        <v>-63360.7240739172i</v>
      </c>
      <c r="AD137" s="64" t="str">
        <f t="shared" si="85"/>
        <v>22000-6336.07240739172i</v>
      </c>
      <c r="AE137" s="64" t="str">
        <f t="shared" si="98"/>
        <v>16534.3851213292-10979.1934036963i</v>
      </c>
      <c r="AF137" s="64" t="str">
        <f t="shared" si="86"/>
        <v>10000</v>
      </c>
      <c r="AG137" s="64" t="str">
        <f t="shared" si="87"/>
        <v>-1624.63395061326i</v>
      </c>
      <c r="AH137" s="64" t="str">
        <f t="shared" si="99"/>
        <v>257.156078588048-1582.85550102519i</v>
      </c>
      <c r="AI137" s="64" t="str">
        <f t="shared" si="100"/>
        <v>8.41138752554108+9.07937943828008i</v>
      </c>
      <c r="AJ137" s="161">
        <f t="shared" si="101"/>
        <v>12.376856268418535</v>
      </c>
      <c r="AK137" s="161">
        <f t="shared" si="102"/>
        <v>21.852206950777195</v>
      </c>
      <c r="AL137" s="161">
        <f t="shared" si="103"/>
        <v>47.187126830907033</v>
      </c>
      <c r="AN137" s="64" t="str">
        <f t="shared" si="104"/>
        <v>-0.0972373092517748-0.366692056763006i</v>
      </c>
      <c r="AO137" s="161">
        <f t="shared" si="105"/>
        <v>0.37936546864943954</v>
      </c>
      <c r="AP137" s="161">
        <f t="shared" si="106"/>
        <v>-8.418844057113354</v>
      </c>
      <c r="AQ137" s="161">
        <f t="shared" si="107"/>
        <v>-104.85155798323485</v>
      </c>
      <c r="AR137" s="64">
        <f t="shared" si="108"/>
        <v>75.148442016765145</v>
      </c>
      <c r="AT137" s="135" t="str">
        <f t="shared" si="88"/>
        <v>-19828.2836884969i</v>
      </c>
      <c r="AU137" s="135" t="str">
        <f t="shared" si="89"/>
        <v>27456.1383070198-3549.1161375653i</v>
      </c>
      <c r="AV137" s="135" t="str">
        <f t="shared" si="109"/>
        <v>8301.41247661818-12760.0850796144i</v>
      </c>
      <c r="AW137" s="135" t="str">
        <f t="shared" si="90"/>
        <v>10000</v>
      </c>
      <c r="AX137" s="135" t="str">
        <f t="shared" si="91"/>
        <v>1789.92604368691-1524.02411127323i</v>
      </c>
      <c r="AY137" s="135" t="str">
        <f t="shared" si="110"/>
        <v>1657.57963849405-1078.38248774425i</v>
      </c>
      <c r="AZ137" s="135" t="str">
        <f t="shared" si="111"/>
        <v>7.03762998021501-3.11950511073147i</v>
      </c>
      <c r="BA137" s="182">
        <f t="shared" si="112"/>
        <v>7.6980223352690329</v>
      </c>
      <c r="BB137" s="182">
        <f t="shared" si="113"/>
        <v>17.727583336704363</v>
      </c>
      <c r="BC137" s="182">
        <f t="shared" si="114"/>
        <v>-23.905830104092693</v>
      </c>
      <c r="BE137" s="135" t="str">
        <f t="shared" si="115"/>
        <v>-0.235362784037852-0.0166872239165665i</v>
      </c>
      <c r="BF137" s="161">
        <f t="shared" si="116"/>
        <v>0.2359536046600903</v>
      </c>
      <c r="BG137" s="161">
        <f t="shared" si="117"/>
        <v>-12.543467671186194</v>
      </c>
      <c r="BH137" s="161">
        <f t="shared" si="118"/>
        <v>-175.94451491823457</v>
      </c>
      <c r="BI137" s="64">
        <f t="shared" si="119"/>
        <v>4.0554850817654255</v>
      </c>
      <c r="BS137" s="64">
        <v>301995.17204020103</v>
      </c>
      <c r="BT137" s="64">
        <v>-37.207927539781601</v>
      </c>
      <c r="BU137" s="64">
        <v>-148.042705390322</v>
      </c>
      <c r="BV137" s="186">
        <v>251188.64315095844</v>
      </c>
      <c r="BW137" s="64">
        <v>-32.946495404756234</v>
      </c>
      <c r="BX137" s="64">
        <v>-145.64755434977963</v>
      </c>
      <c r="BZ137" s="64">
        <v>301995.17204020103</v>
      </c>
      <c r="CA137" s="64">
        <v>-35.122867386937003</v>
      </c>
      <c r="CB137" s="64">
        <v>-148.674664487527</v>
      </c>
      <c r="CC137" s="186">
        <v>251188.64315095844</v>
      </c>
      <c r="CD137" s="64">
        <v>-31.968529331618637</v>
      </c>
      <c r="CE137" s="64">
        <v>-144.66633054323421</v>
      </c>
      <c r="CG137" s="64">
        <v>301995.17204020103</v>
      </c>
      <c r="CH137" s="64">
        <v>-53.216606470992403</v>
      </c>
      <c r="CI137" s="64">
        <v>-214.74390118497001</v>
      </c>
      <c r="CJ137" s="64">
        <v>251188.64315095844</v>
      </c>
      <c r="CK137" s="64">
        <v>-49.106349316484</v>
      </c>
      <c r="CL137" s="64">
        <v>-165.42015971411186</v>
      </c>
      <c r="CN137" s="64">
        <v>301995.17204020103</v>
      </c>
      <c r="CO137" s="64">
        <v>-36.985383550975698</v>
      </c>
      <c r="CP137" s="64">
        <v>-196.19909240246699</v>
      </c>
      <c r="CQ137" s="186">
        <v>251188.64315095844</v>
      </c>
      <c r="CR137" s="64">
        <v>-35.020543416859859</v>
      </c>
      <c r="CS137" s="64">
        <v>-153.09298482602429</v>
      </c>
      <c r="CU137" s="64">
        <v>301995.17204020103</v>
      </c>
      <c r="CV137" s="64">
        <v>-37.610550746288197</v>
      </c>
      <c r="CW137" s="64">
        <v>-151.16092030789099</v>
      </c>
      <c r="CX137" s="139">
        <v>251188.64315095844</v>
      </c>
      <c r="CY137" s="64">
        <v>-33.755605921761955</v>
      </c>
      <c r="CZ137" s="64">
        <v>-147.49215527296343</v>
      </c>
    </row>
    <row r="138" spans="2:104">
      <c r="B138" s="135">
        <f t="shared" si="58"/>
        <v>5.44</v>
      </c>
      <c r="C138" s="139">
        <f t="shared" si="92"/>
        <v>275422.87033381703</v>
      </c>
      <c r="D138" s="139">
        <f t="shared" si="93"/>
        <v>1730532.9321426675</v>
      </c>
      <c r="E138" s="32" t="str">
        <f t="shared" si="94"/>
        <v>1730532.93214267i</v>
      </c>
      <c r="F138"/>
      <c r="G138" s="153" t="str">
        <f t="shared" si="75"/>
        <v>0.04+0.0182620530486366i</v>
      </c>
      <c r="H138" s="153" t="str">
        <f t="shared" si="76"/>
        <v>1+25.7716499105525i</v>
      </c>
      <c r="I138" t="str">
        <f t="shared" si="52"/>
        <v>0.000767679154391436-0.00152230536196848i</v>
      </c>
      <c r="J138"/>
      <c r="K138" t="str">
        <f t="shared" si="53"/>
        <v>0.04+0.0182620530486366i</v>
      </c>
      <c r="L138" t="str">
        <f t="shared" si="77"/>
        <v>5.43580907071529+140.08976835108i</v>
      </c>
      <c r="M138" t="str">
        <f t="shared" si="54"/>
        <v>0.000141226291138003-0.000280051293591179i</v>
      </c>
      <c r="N138" s="153" t="str">
        <f t="shared" si="78"/>
        <v>0.0011+0.380717245071387i</v>
      </c>
      <c r="O138" s="135" t="str">
        <f t="shared" si="79"/>
        <v>0.000242+0.0837577939157051i</v>
      </c>
      <c r="Q138" s="135" t="str">
        <f t="shared" si="80"/>
        <v>-1.73053293214267i</v>
      </c>
      <c r="R138" s="135" t="str">
        <f t="shared" si="81"/>
        <v>-1.2137241200467</v>
      </c>
      <c r="S138" s="64" t="str">
        <f t="shared" si="55"/>
        <v>-0.2137241200467-1.73053293214267i</v>
      </c>
      <c r="T138" s="135" t="str">
        <f t="shared" si="82"/>
        <v>-0.002137241200467-0.0173053293214267i</v>
      </c>
      <c r="U138" s="64" t="str">
        <f t="shared" si="56"/>
        <v>-0.001754014909329+0.0661724133006872i</v>
      </c>
      <c r="W138" s="64" t="str">
        <f t="shared" si="57"/>
        <v>-0.023296277669658-0.0109836879112196i</v>
      </c>
      <c r="X138" s="172">
        <f t="shared" si="95"/>
        <v>2.5755736320145804E-2</v>
      </c>
      <c r="Y138" s="188">
        <f t="shared" si="96"/>
        <v>-31.782520594794299</v>
      </c>
      <c r="Z138" s="161">
        <f t="shared" si="97"/>
        <v>-154.75714260864609</v>
      </c>
      <c r="AA138" s="161">
        <f t="shared" si="120"/>
        <v>-154.75714260864609</v>
      </c>
      <c r="AB138" s="199"/>
      <c r="AC138" s="64" t="str">
        <f t="shared" si="84"/>
        <v>-57785.6671448515i</v>
      </c>
      <c r="AD138" s="64" t="str">
        <f t="shared" si="85"/>
        <v>22000-5778.56671448515i</v>
      </c>
      <c r="AE138" s="64" t="str">
        <f t="shared" si="98"/>
        <v>16236.8139827778-10872.9107297681i</v>
      </c>
      <c r="AF138" s="64" t="str">
        <f t="shared" si="86"/>
        <v>10000</v>
      </c>
      <c r="AG138" s="64" t="str">
        <f t="shared" si="87"/>
        <v>-1481.68377294491i</v>
      </c>
      <c r="AH138" s="64" t="str">
        <f t="shared" si="99"/>
        <v>214.822495582906-1449.85387236804i</v>
      </c>
      <c r="AI138" s="64" t="str">
        <f t="shared" si="100"/>
        <v>8.96189413186107+9.87106203802907i</v>
      </c>
      <c r="AJ138" s="161">
        <f t="shared" si="101"/>
        <v>13.332419592455993</v>
      </c>
      <c r="AK138" s="161">
        <f t="shared" si="102"/>
        <v>22.498179462837314</v>
      </c>
      <c r="AL138" s="161">
        <f t="shared" si="103"/>
        <v>47.763829178864476</v>
      </c>
      <c r="AN138" s="64" t="str">
        <f t="shared" si="104"/>
        <v>-0.100358109363916-0.328393650370098i</v>
      </c>
      <c r="AO138" s="161">
        <f t="shared" si="105"/>
        <v>0.34338628353284273</v>
      </c>
      <c r="AP138" s="161">
        <f t="shared" si="106"/>
        <v>-9.2843411319569729</v>
      </c>
      <c r="AQ138" s="161">
        <f t="shared" si="107"/>
        <v>-106.99331342978169</v>
      </c>
      <c r="AR138" s="64">
        <f t="shared" si="108"/>
        <v>73.006686570218307</v>
      </c>
      <c r="AT138" s="135" t="str">
        <f t="shared" si="88"/>
        <v>-18083.6096497332i</v>
      </c>
      <c r="AU138" s="135" t="str">
        <f t="shared" si="89"/>
        <v>27456.1383070198-3236.83238759253i</v>
      </c>
      <c r="AV138" s="135" t="str">
        <f t="shared" si="109"/>
        <v>7430.16922078207-12313.880111377i</v>
      </c>
      <c r="AW138" s="135" t="str">
        <f t="shared" si="90"/>
        <v>10000</v>
      </c>
      <c r="AX138" s="135" t="str">
        <f t="shared" si="91"/>
        <v>1789.92604368691-1389.92650892094i</v>
      </c>
      <c r="AY138" s="135" t="str">
        <f t="shared" si="110"/>
        <v>1634.44947428707-986.223356645399i</v>
      </c>
      <c r="AZ138" s="135" t="str">
        <f t="shared" si="111"/>
        <v>6.66522003879718-3.51218224989072i</v>
      </c>
      <c r="BA138" s="182">
        <f t="shared" si="112"/>
        <v>7.5339619273016591</v>
      </c>
      <c r="BB138" s="182">
        <f t="shared" si="113"/>
        <v>17.540468423518114</v>
      </c>
      <c r="BC138" s="182">
        <f t="shared" si="114"/>
        <v>-27.786615342469755</v>
      </c>
      <c r="BE138" s="135" t="str">
        <f t="shared" si="115"/>
        <v>-0.193851530473313+0.00861207615414314i</v>
      </c>
      <c r="BF138" s="161">
        <f t="shared" si="116"/>
        <v>0.19404273684559947</v>
      </c>
      <c r="BG138" s="161">
        <f t="shared" si="117"/>
        <v>-14.242052171276164</v>
      </c>
      <c r="BH138" s="161">
        <f t="shared" si="118"/>
        <v>177.45624204888415</v>
      </c>
      <c r="BI138" s="64">
        <f t="shared" si="119"/>
        <v>-2.5437579511158503</v>
      </c>
      <c r="BS138" s="64">
        <v>331131.12148259103</v>
      </c>
      <c r="BT138" s="64">
        <v>-39.772970013473099</v>
      </c>
      <c r="BU138" s="64">
        <v>-144.81849087772301</v>
      </c>
      <c r="BV138" s="186">
        <v>275422.87033381703</v>
      </c>
      <c r="BW138" s="64">
        <v>-35.152823372432366</v>
      </c>
      <c r="BX138" s="64">
        <v>-142.98498721539232</v>
      </c>
      <c r="BZ138" s="64">
        <v>331131.12148259103</v>
      </c>
      <c r="CA138" s="64">
        <v>-36.6969589504208</v>
      </c>
      <c r="CB138" s="64">
        <v>-149.45256326609001</v>
      </c>
      <c r="CC138" s="186">
        <v>275422.87033381703</v>
      </c>
      <c r="CD138" s="64">
        <v>-33.62252447627889</v>
      </c>
      <c r="CE138" s="64">
        <v>-145.7021753931983</v>
      </c>
      <c r="CG138" s="64">
        <v>331131.12148259103</v>
      </c>
      <c r="CH138" s="64">
        <v>-56.698662510392502</v>
      </c>
      <c r="CI138" s="64">
        <v>-224.70466933092101</v>
      </c>
      <c r="CJ138" s="64">
        <v>275422.87033381703</v>
      </c>
      <c r="CK138" s="64">
        <v>-50.881932399231324</v>
      </c>
      <c r="CL138" s="64">
        <v>-164.04556665745818</v>
      </c>
      <c r="CN138" s="64">
        <v>331131.12148259103</v>
      </c>
      <c r="CO138" s="64">
        <v>-39.902059145152798</v>
      </c>
      <c r="CP138" s="64">
        <v>-203.838488936858</v>
      </c>
      <c r="CQ138" s="186">
        <v>275422.87033381703</v>
      </c>
      <c r="CR138" s="64">
        <v>-36.711673315388673</v>
      </c>
      <c r="CS138" s="64">
        <v>-154.17936500763039</v>
      </c>
      <c r="CU138" s="64">
        <v>331131.12148259103</v>
      </c>
      <c r="CV138" s="64">
        <v>-39.372044978680002</v>
      </c>
      <c r="CW138" s="64">
        <v>-150.97912173171599</v>
      </c>
      <c r="CX138" s="139">
        <v>275422.87033381703</v>
      </c>
      <c r="CY138" s="64">
        <v>-35.440449113377959</v>
      </c>
      <c r="CZ138" s="64">
        <v>-148.08786432276747</v>
      </c>
    </row>
    <row r="139" spans="2:104">
      <c r="B139" s="135">
        <f t="shared" si="58"/>
        <v>5.48</v>
      </c>
      <c r="C139" s="139">
        <f t="shared" si="92"/>
        <v>301995.17204020242</v>
      </c>
      <c r="D139" s="139">
        <f t="shared" si="93"/>
        <v>1897491.6278021713</v>
      </c>
      <c r="E139" s="32" t="str">
        <f t="shared" si="94"/>
        <v>1897491.62780217i</v>
      </c>
      <c r="F139"/>
      <c r="G139" s="153" t="str">
        <f t="shared" si="75"/>
        <v>0.04+0.0177281266585084i</v>
      </c>
      <c r="H139" s="153" t="str">
        <f t="shared" si="76"/>
        <v>1+27.9662290834262i</v>
      </c>
      <c r="I139" t="str">
        <f t="shared" si="52"/>
        <v>0.000684180858961189-0.00140583197769551i</v>
      </c>
      <c r="J139"/>
      <c r="K139" t="str">
        <f t="shared" si="53"/>
        <v>0.04+0.0177281266585084i</v>
      </c>
      <c r="L139" t="str">
        <f t="shared" si="77"/>
        <v>5.43580907071529+152.01908172539i</v>
      </c>
      <c r="M139" t="str">
        <f t="shared" si="54"/>
        <v>0.000125865505955153-0.000258624237791803i</v>
      </c>
      <c r="N139" s="153" t="str">
        <f t="shared" si="78"/>
        <v>0.0011+0.417448158116477i</v>
      </c>
      <c r="O139" s="135" t="str">
        <f t="shared" si="79"/>
        <v>0.000242+0.0918385947856249i</v>
      </c>
      <c r="Q139" s="135" t="str">
        <f t="shared" si="80"/>
        <v>-1.89749162780217i</v>
      </c>
      <c r="R139" s="135" t="str">
        <f t="shared" si="81"/>
        <v>-1.45921734296946</v>
      </c>
      <c r="S139" s="64" t="str">
        <f t="shared" si="55"/>
        <v>-0.45921734296946-1.89749162780217i</v>
      </c>
      <c r="T139" s="135" t="str">
        <f t="shared" si="82"/>
        <v>-0.0045921734296946-0.0189749162780217i</v>
      </c>
      <c r="U139" s="64" t="str">
        <f t="shared" si="56"/>
        <v>-0.00422430792373945+0.0726050542698114i</v>
      </c>
      <c r="W139" s="64" t="str">
        <f t="shared" si="57"/>
        <v>-0.0198438224416979-0.00826876928364295i</v>
      </c>
      <c r="X139" s="172">
        <f t="shared" si="95"/>
        <v>2.1497670445044744E-2</v>
      </c>
      <c r="Y139" s="188">
        <f t="shared" si="96"/>
        <v>-33.352171980921909</v>
      </c>
      <c r="Z139" s="161">
        <f t="shared" si="97"/>
        <v>-157.378880518675</v>
      </c>
      <c r="AA139" s="161">
        <f t="shared" si="120"/>
        <v>-157.378880518675</v>
      </c>
      <c r="AB139" s="199"/>
      <c r="AC139" s="64" t="str">
        <f t="shared" si="84"/>
        <v>-52701.1547955171i</v>
      </c>
      <c r="AD139" s="64" t="str">
        <f t="shared" si="85"/>
        <v>22000-5270.11547955171i</v>
      </c>
      <c r="AE139" s="64" t="str">
        <f t="shared" si="98"/>
        <v>15892.9340456147-10822.355930873i</v>
      </c>
      <c r="AF139" s="64" t="str">
        <f t="shared" si="86"/>
        <v>10000</v>
      </c>
      <c r="AG139" s="64" t="str">
        <f t="shared" si="87"/>
        <v>-1351.31166142352i</v>
      </c>
      <c r="AH139" s="64" t="str">
        <f t="shared" si="99"/>
        <v>179.32968313417-1327.07863221766i</v>
      </c>
      <c r="AI139" s="64" t="str">
        <f t="shared" si="100"/>
        <v>9.59807201561287+10.6788810310914i</v>
      </c>
      <c r="AJ139" s="161">
        <f t="shared" si="101"/>
        <v>14.358324640886714</v>
      </c>
      <c r="AK139" s="161">
        <f t="shared" si="102"/>
        <v>23.142075369622361</v>
      </c>
      <c r="AL139" s="161">
        <f t="shared" si="103"/>
        <v>48.051111677006425</v>
      </c>
      <c r="AN139" s="64" t="str">
        <f t="shared" si="104"/>
        <v>-0.102161233406885-0.291274062121886i</v>
      </c>
      <c r="AO139" s="161">
        <f t="shared" si="105"/>
        <v>0.30867053127274774</v>
      </c>
      <c r="AP139" s="161">
        <f t="shared" si="106"/>
        <v>-10.210096611299557</v>
      </c>
      <c r="AQ139" s="161">
        <f t="shared" si="107"/>
        <v>-109.32776884166852</v>
      </c>
      <c r="AR139" s="64">
        <f t="shared" si="108"/>
        <v>70.672231158331485</v>
      </c>
      <c r="AT139" s="135" t="str">
        <f t="shared" si="88"/>
        <v>-16492.4480152377i</v>
      </c>
      <c r="AU139" s="135" t="str">
        <f t="shared" si="89"/>
        <v>27456.1383070198-2952.02622266265i</v>
      </c>
      <c r="AV139" s="135" t="str">
        <f t="shared" si="109"/>
        <v>6597.67989001382-11819.9622047154i</v>
      </c>
      <c r="AW139" s="135" t="str">
        <f t="shared" si="90"/>
        <v>10000</v>
      </c>
      <c r="AX139" s="135" t="str">
        <f t="shared" si="91"/>
        <v>1789.92604368691-1267.62804204401i</v>
      </c>
      <c r="AY139" s="135" t="str">
        <f t="shared" si="110"/>
        <v>1615.11270676963-901.525439845208i</v>
      </c>
      <c r="AZ139" s="135" t="str">
        <f t="shared" si="111"/>
        <v>6.22914146301554-3.8413620804342i</v>
      </c>
      <c r="BA139" s="182">
        <f t="shared" si="112"/>
        <v>7.318351317015134</v>
      </c>
      <c r="BB139" s="182">
        <f t="shared" si="113"/>
        <v>17.288265078630346</v>
      </c>
      <c r="BC139" s="182">
        <f t="shared" si="114"/>
        <v>-31.661138788529037</v>
      </c>
      <c r="BE139" s="135" t="str">
        <f t="shared" si="115"/>
        <v>-0.155373313934344+0.0247199734655579i</v>
      </c>
      <c r="BF139" s="161">
        <f t="shared" si="116"/>
        <v>0.15732750481425078</v>
      </c>
      <c r="BG139" s="161">
        <f t="shared" si="117"/>
        <v>-16.063906902291549</v>
      </c>
      <c r="BH139" s="161">
        <f t="shared" si="118"/>
        <v>170.95998069279602</v>
      </c>
      <c r="BI139" s="64">
        <f t="shared" si="119"/>
        <v>-9.040019307203977</v>
      </c>
      <c r="BS139" s="64">
        <v>363078.05477010098</v>
      </c>
      <c r="BT139" s="64">
        <v>-42.788708506728298</v>
      </c>
      <c r="BU139" s="64">
        <v>-144.409391470261</v>
      </c>
      <c r="BV139" s="186">
        <v>301995.17204020242</v>
      </c>
      <c r="BW139" s="64">
        <v>-37.4827347259722</v>
      </c>
      <c r="BX139" s="64">
        <v>-138.32490785184453</v>
      </c>
      <c r="BZ139" s="64">
        <v>363078.05477010098</v>
      </c>
      <c r="CA139" s="64">
        <v>-38.260297476611903</v>
      </c>
      <c r="CB139" s="64">
        <v>-150.08222612758701</v>
      </c>
      <c r="CC139" s="186">
        <v>301995.17204020242</v>
      </c>
      <c r="CD139" s="64">
        <v>-35.336122671743617</v>
      </c>
      <c r="CE139" s="64">
        <v>-146.33832047563655</v>
      </c>
      <c r="CG139" s="64">
        <v>363078.05477010098</v>
      </c>
      <c r="CH139" s="64">
        <v>-62.8285364880063</v>
      </c>
      <c r="CI139" s="64">
        <v>-252.50748658614501</v>
      </c>
      <c r="CJ139" s="64">
        <v>301995.17204020242</v>
      </c>
      <c r="CK139" s="64">
        <v>-52.692735748682729</v>
      </c>
      <c r="CL139" s="64">
        <v>-162.35912729705882</v>
      </c>
      <c r="CN139" s="64">
        <v>363078.05477010098</v>
      </c>
      <c r="CO139" s="64">
        <v>-43.147778364589897</v>
      </c>
      <c r="CP139" s="64">
        <v>-211.59393793706801</v>
      </c>
      <c r="CQ139" s="186">
        <v>301995.17204020242</v>
      </c>
      <c r="CR139" s="64">
        <v>-38.462427256013818</v>
      </c>
      <c r="CS139" s="64">
        <v>-154.92419422000032</v>
      </c>
      <c r="CU139" s="64">
        <v>363078.05477010098</v>
      </c>
      <c r="CV139" s="64">
        <v>-41.179979093878501</v>
      </c>
      <c r="CW139" s="64">
        <v>-150.26294103709799</v>
      </c>
      <c r="CX139" s="139">
        <v>301995.17204020242</v>
      </c>
      <c r="CY139" s="64">
        <v>-37.176441349729316</v>
      </c>
      <c r="CZ139" s="64">
        <v>-148.28096525346311</v>
      </c>
    </row>
    <row r="140" spans="2:104">
      <c r="B140" s="135">
        <f t="shared" si="58"/>
        <v>5.5200000000000005</v>
      </c>
      <c r="C140" s="139">
        <f t="shared" si="92"/>
        <v>331131.12148259184</v>
      </c>
      <c r="D140" s="139">
        <f t="shared" si="93"/>
        <v>2080558.1972493196</v>
      </c>
      <c r="E140" s="32" t="str">
        <f t="shared" si="94"/>
        <v>2080558.19724932i</v>
      </c>
      <c r="F140"/>
      <c r="G140" s="153" t="str">
        <f t="shared" si="75"/>
        <v>0.04+0.0173191310612121i</v>
      </c>
      <c r="H140" s="153" t="str">
        <f t="shared" si="76"/>
        <v>1+30.5747564236304i</v>
      </c>
      <c r="I140" t="str">
        <f t="shared" si="52"/>
        <v>0.000608590126438423-0.0012883638164691i</v>
      </c>
      <c r="J140"/>
      <c r="K140" t="str">
        <f t="shared" si="53"/>
        <v>0.04+0.0173191310612121i</v>
      </c>
      <c r="L140" t="str">
        <f t="shared" si="77"/>
        <v>5.43580907071529+166.198538302481i</v>
      </c>
      <c r="M140" t="str">
        <f t="shared" si="54"/>
        <v>0.00011195943759635-0.000237014177596853i</v>
      </c>
      <c r="N140" s="153" t="str">
        <f t="shared" si="78"/>
        <v>0.0011+0.45772280339485i</v>
      </c>
      <c r="O140" s="135" t="str">
        <f t="shared" si="79"/>
        <v>0.000242+0.100699016746867i</v>
      </c>
      <c r="Q140" s="135" t="str">
        <f t="shared" si="80"/>
        <v>-2.08055819724932i</v>
      </c>
      <c r="R140" s="135" t="str">
        <f t="shared" si="81"/>
        <v>-1.7543651138291</v>
      </c>
      <c r="S140" s="64" t="str">
        <f t="shared" si="55"/>
        <v>-0.7543651138291-2.08055819724932i</v>
      </c>
      <c r="T140" s="135" t="str">
        <f t="shared" si="82"/>
        <v>-0.007543651138291-0.0208055819724932i</v>
      </c>
      <c r="U140" s="64" t="str">
        <f t="shared" si="56"/>
        <v>-0.00718969170069465+0.079656420596777i</v>
      </c>
      <c r="W140" s="64" t="str">
        <f t="shared" si="57"/>
        <v>-0.0167273334112261-0.00613040044454039i</v>
      </c>
      <c r="X140" s="172">
        <f t="shared" si="95"/>
        <v>1.7815316238022325E-2</v>
      </c>
      <c r="Y140" s="188">
        <f t="shared" si="96"/>
        <v>-34.984129282471386</v>
      </c>
      <c r="Z140" s="161">
        <f t="shared" si="97"/>
        <v>-159.87261966599846</v>
      </c>
      <c r="AA140" s="161">
        <f t="shared" si="120"/>
        <v>-159.87261966599846</v>
      </c>
      <c r="AB140" s="199"/>
      <c r="AC140" s="64" t="str">
        <f t="shared" si="84"/>
        <v>-48064.0244200853i</v>
      </c>
      <c r="AD140" s="64" t="str">
        <f t="shared" si="85"/>
        <v>22000-4806.40244200853i</v>
      </c>
      <c r="AE140" s="64" t="str">
        <f t="shared" si="98"/>
        <v>15498.3039546682-10818.4814327316i</v>
      </c>
      <c r="AF140" s="64" t="str">
        <f t="shared" si="86"/>
        <v>10000</v>
      </c>
      <c r="AG140" s="64" t="str">
        <f t="shared" si="87"/>
        <v>-1232.41088256629i</v>
      </c>
      <c r="AH140" s="64" t="str">
        <f t="shared" si="99"/>
        <v>149.611307081819-1213.97262226603i</v>
      </c>
      <c r="AI140" s="64" t="str">
        <f t="shared" si="100"/>
        <v>10.3281376838639+11.493749957902i</v>
      </c>
      <c r="AJ140" s="161">
        <f t="shared" si="101"/>
        <v>15.452401629249152</v>
      </c>
      <c r="AK140" s="161">
        <f t="shared" si="102"/>
        <v>23.779919750651462</v>
      </c>
      <c r="AL140" s="161">
        <f t="shared" si="103"/>
        <v>48.057538286775809</v>
      </c>
      <c r="AN140" s="64" t="str">
        <f t="shared" si="104"/>
        <v>-0.102300912703681-0.255575407539526i</v>
      </c>
      <c r="AO140" s="161">
        <f t="shared" si="105"/>
        <v>0.2752894216620046</v>
      </c>
      <c r="AP140" s="161">
        <f t="shared" si="106"/>
        <v>-11.204209531819938</v>
      </c>
      <c r="AQ140" s="161">
        <f t="shared" si="107"/>
        <v>-111.81508137922259</v>
      </c>
      <c r="AR140" s="64">
        <f t="shared" si="108"/>
        <v>68.18491862077741</v>
      </c>
      <c r="AT140" s="135" t="str">
        <f t="shared" si="88"/>
        <v>-15041.2913574107i</v>
      </c>
      <c r="AU140" s="135" t="str">
        <f t="shared" si="89"/>
        <v>27456.1383070198-2692.27991313122i</v>
      </c>
      <c r="AV140" s="135" t="str">
        <f t="shared" si="109"/>
        <v>5814.4510190985-11285.8112387847i</v>
      </c>
      <c r="AW140" s="135" t="str">
        <f t="shared" si="90"/>
        <v>10000</v>
      </c>
      <c r="AX140" s="135" t="str">
        <f t="shared" si="91"/>
        <v>1789.92604368691-1156.09051461565i</v>
      </c>
      <c r="AY140" s="135" t="str">
        <f t="shared" si="110"/>
        <v>1598.96085361167-823.784783217952i</v>
      </c>
      <c r="AZ140" s="135" t="str">
        <f t="shared" si="111"/>
        <v>5.74728010828672-4.09721684298217i</v>
      </c>
      <c r="BA140" s="182">
        <f t="shared" si="112"/>
        <v>7.0582160990950813</v>
      </c>
      <c r="BB140" s="182">
        <f t="shared" si="113"/>
        <v>16.973899017593844</v>
      </c>
      <c r="BC140" s="182">
        <f t="shared" si="114"/>
        <v>-35.48494402422623</v>
      </c>
      <c r="BE140" s="135" t="str">
        <f t="shared" si="115"/>
        <v>-0.121254250534616+0.0333023836599149i</v>
      </c>
      <c r="BF140" s="161">
        <f t="shared" si="116"/>
        <v>0.12574435188167934</v>
      </c>
      <c r="BG140" s="161">
        <f t="shared" si="117"/>
        <v>-18.010230264877528</v>
      </c>
      <c r="BH140" s="161">
        <f t="shared" si="118"/>
        <v>164.64243630977532</v>
      </c>
      <c r="BI140" s="64">
        <f t="shared" si="119"/>
        <v>-15.35756369022468</v>
      </c>
      <c r="BS140" s="64">
        <v>398107.17055349698</v>
      </c>
      <c r="BT140" s="64">
        <v>-62.683104122963798</v>
      </c>
      <c r="BU140" s="64">
        <v>-169.00298984738001</v>
      </c>
      <c r="BV140" s="186">
        <v>331131.12148259184</v>
      </c>
      <c r="BW140" s="64">
        <v>-39.87234851842225</v>
      </c>
      <c r="BX140" s="64">
        <v>-130.68971231977619</v>
      </c>
      <c r="BZ140" s="64">
        <v>398107.17055349698</v>
      </c>
      <c r="CA140" s="64">
        <v>-39.807648899222102</v>
      </c>
      <c r="CB140" s="64">
        <v>-150.929149419065</v>
      </c>
      <c r="CC140" s="186">
        <v>331131.12148259184</v>
      </c>
      <c r="CD140" s="64">
        <v>-37.113691487134069</v>
      </c>
      <c r="CE140" s="64">
        <v>-146.48982044240611</v>
      </c>
      <c r="CG140" s="64">
        <v>398107.17055349698</v>
      </c>
      <c r="CH140" s="64">
        <v>-97.603011045677405</v>
      </c>
      <c r="CI140" s="64">
        <v>-228.48699802079199</v>
      </c>
      <c r="CJ140" s="64">
        <v>331131.12148259184</v>
      </c>
      <c r="CK140" s="64">
        <v>-54.545134040994625</v>
      </c>
      <c r="CL140" s="64">
        <v>-160.27627190128678</v>
      </c>
      <c r="CN140" s="64">
        <v>398107.17055349698</v>
      </c>
      <c r="CO140" s="64">
        <v>-46.857449310729201</v>
      </c>
      <c r="CP140" s="64">
        <v>-222.03232181341301</v>
      </c>
      <c r="CQ140" s="186">
        <v>331131.12148259184</v>
      </c>
      <c r="CR140" s="64">
        <v>-40.278274329896803</v>
      </c>
      <c r="CS140" s="64">
        <v>-155.24319631546325</v>
      </c>
      <c r="CU140" s="64">
        <v>398107.17055349698</v>
      </c>
      <c r="CV140" s="64">
        <v>-43.029661167420201</v>
      </c>
      <c r="CW140" s="64">
        <v>-148.83610010166399</v>
      </c>
      <c r="CX140" s="139">
        <v>331131.12148259184</v>
      </c>
      <c r="CY140" s="64">
        <v>-38.96819162016223</v>
      </c>
      <c r="CZ140" s="64">
        <v>-147.99248470549873</v>
      </c>
    </row>
    <row r="141" spans="2:104">
      <c r="B141" s="135">
        <f t="shared" si="58"/>
        <v>5.5600000000000005</v>
      </c>
      <c r="C141" s="139">
        <f t="shared" si="92"/>
        <v>363078.05477010203</v>
      </c>
      <c r="D141" s="139">
        <f t="shared" si="93"/>
        <v>2281286.6990908501</v>
      </c>
      <c r="E141" s="32" t="str">
        <f t="shared" si="94"/>
        <v>2281286.69909085i</v>
      </c>
      <c r="F141"/>
      <c r="G141" s="153" t="str">
        <f t="shared" si="75"/>
        <v>0.04+0.017071588398285i</v>
      </c>
      <c r="H141" s="153" t="str">
        <f t="shared" si="76"/>
        <v>1+33.7038545243248i</v>
      </c>
      <c r="I141" t="str">
        <f t="shared" si="52"/>
        <v>0.000541253735716711-0.00117074877105837i</v>
      </c>
      <c r="J141"/>
      <c r="K141" t="str">
        <f t="shared" si="53"/>
        <v>0.04+0.017071588398285i</v>
      </c>
      <c r="L141" t="str">
        <f t="shared" si="77"/>
        <v>5.43580907071529+183.207718141393i</v>
      </c>
      <c r="M141" t="str">
        <f t="shared" si="54"/>
        <v>0.0000995718813290639-0.000215377095815529i</v>
      </c>
      <c r="N141" s="153" t="str">
        <f t="shared" si="78"/>
        <v>0.0011+0.501883073799987i</v>
      </c>
      <c r="O141" s="135" t="str">
        <f t="shared" si="79"/>
        <v>0.000242+0.110414276235997i</v>
      </c>
      <c r="Q141" s="135" t="str">
        <f t="shared" si="80"/>
        <v>-2.28128669909085i</v>
      </c>
      <c r="R141" s="135" t="str">
        <f t="shared" si="81"/>
        <v>-2.10921078169026</v>
      </c>
      <c r="S141" s="64" t="str">
        <f t="shared" si="55"/>
        <v>-1.10921078169026-2.28128669909085i</v>
      </c>
      <c r="T141" s="135" t="str">
        <f t="shared" si="82"/>
        <v>-0.0110921078169026-0.0228128669909085i</v>
      </c>
      <c r="U141" s="64" t="str">
        <f t="shared" si="56"/>
        <v>-0.0107505359355735+0.087386032149273i</v>
      </c>
      <c r="W141" s="64" t="str">
        <f t="shared" si="57"/>
        <v>-0.013948317209235-0.00447785350466113i</v>
      </c>
      <c r="X141" s="172">
        <f t="shared" si="95"/>
        <v>1.464946159347323E-2</v>
      </c>
      <c r="Y141" s="188">
        <f t="shared" si="96"/>
        <v>-36.68356672978846</v>
      </c>
      <c r="Z141" s="161">
        <f t="shared" si="97"/>
        <v>-162.2017175473998</v>
      </c>
      <c r="AA141" s="161">
        <f t="shared" si="120"/>
        <v>-162.2017175473998</v>
      </c>
      <c r="AB141" s="199"/>
      <c r="AC141" s="64" t="str">
        <f t="shared" si="84"/>
        <v>-43834.911254185i</v>
      </c>
      <c r="AD141" s="64" t="str">
        <f t="shared" si="85"/>
        <v>22000-4383.4911254185i</v>
      </c>
      <c r="AE141" s="64" t="str">
        <f t="shared" si="98"/>
        <v>15049.0466924908-10851.2299429139i</v>
      </c>
      <c r="AF141" s="64" t="str">
        <f t="shared" si="86"/>
        <v>10000</v>
      </c>
      <c r="AG141" s="64" t="str">
        <f t="shared" si="87"/>
        <v>-1123.97208344064i</v>
      </c>
      <c r="AH141" s="64" t="str">
        <f t="shared" si="99"/>
        <v>124.755274529231-1109.94993885736i</v>
      </c>
      <c r="AI141" s="64" t="str">
        <f t="shared" si="100"/>
        <v>11.1592636188919+12.3040411266034i</v>
      </c>
      <c r="AJ141" s="161">
        <f t="shared" si="101"/>
        <v>16.610797469148558</v>
      </c>
      <c r="AK141" s="161">
        <f t="shared" si="102"/>
        <v>24.407809660631653</v>
      </c>
      <c r="AL141" s="161">
        <f t="shared" si="103"/>
        <v>47.793253070005797</v>
      </c>
      <c r="AN141" s="64" t="str">
        <f t="shared" si="104"/>
        <v>-0.100557255097524-0.22159021629463i</v>
      </c>
      <c r="AO141" s="161">
        <f t="shared" si="105"/>
        <v>0.24333923956125411</v>
      </c>
      <c r="AP141" s="161">
        <f t="shared" si="106"/>
        <v>-12.275757069156805</v>
      </c>
      <c r="AQ141" s="161">
        <f t="shared" si="107"/>
        <v>-114.40846447739395</v>
      </c>
      <c r="AR141" s="64">
        <f t="shared" si="108"/>
        <v>65.591535522606051</v>
      </c>
      <c r="AT141" s="135" t="str">
        <f t="shared" si="88"/>
        <v>-13717.8207558689i</v>
      </c>
      <c r="AU141" s="135" t="str">
        <f t="shared" si="89"/>
        <v>27456.1383070198-2455.38846335586i</v>
      </c>
      <c r="AV141" s="135" t="str">
        <f t="shared" si="109"/>
        <v>5088.23677951761-10720.5632001312i</v>
      </c>
      <c r="AW141" s="135" t="str">
        <f t="shared" si="90"/>
        <v>10000</v>
      </c>
      <c r="AX141" s="135" t="str">
        <f t="shared" si="91"/>
        <v>1789.92604368691-1054.36708060603i</v>
      </c>
      <c r="AY141" s="135" t="str">
        <f t="shared" si="110"/>
        <v>1585.4788470302-752.506340572433i</v>
      </c>
      <c r="AZ141" s="135" t="str">
        <f t="shared" si="111"/>
        <v>5.23848590642987-4.27540824858086i</v>
      </c>
      <c r="BA141" s="182">
        <f t="shared" si="112"/>
        <v>6.7617194768710744</v>
      </c>
      <c r="BB141" s="182">
        <f t="shared" si="113"/>
        <v>16.601142984986385</v>
      </c>
      <c r="BC141" s="182">
        <f t="shared" si="114"/>
        <v>-39.219721893154535</v>
      </c>
      <c r="BE141" s="135" t="str">
        <f t="shared" si="115"/>
        <v>-0.0922127149287557+0.0361775779749608i</v>
      </c>
      <c r="BF141" s="161">
        <f t="shared" si="116"/>
        <v>9.9055549782262747E-2</v>
      </c>
      <c r="BG141" s="161">
        <f t="shared" si="117"/>
        <v>-20.082423744802071</v>
      </c>
      <c r="BH141" s="161">
        <f t="shared" si="118"/>
        <v>158.57856055944563</v>
      </c>
      <c r="BI141" s="64">
        <f t="shared" si="119"/>
        <v>-21.421439440554366</v>
      </c>
      <c r="BS141" s="64">
        <v>436515.83224016603</v>
      </c>
      <c r="BT141" s="64">
        <v>-44.778753042544501</v>
      </c>
      <c r="BU141" s="64">
        <v>-58.358522637589601</v>
      </c>
      <c r="BV141" s="186">
        <v>363078.05477010203</v>
      </c>
      <c r="BW141" s="64">
        <v>-42.116717309580011</v>
      </c>
      <c r="BX141" s="64">
        <v>-118.95672516039306</v>
      </c>
      <c r="BZ141" s="64">
        <v>436515.83224016603</v>
      </c>
      <c r="CA141" s="64">
        <v>-41.351003141090203</v>
      </c>
      <c r="CB141" s="64">
        <v>-152.52555898625599</v>
      </c>
      <c r="CC141" s="186">
        <v>363078.05477010203</v>
      </c>
      <c r="CD141" s="64">
        <v>-38.960005205623702</v>
      </c>
      <c r="CE141" s="64">
        <v>-146.03870569306901</v>
      </c>
      <c r="CG141" s="64">
        <v>436515.83224016603</v>
      </c>
      <c r="CH141" s="64">
        <v>-67.153002118245794</v>
      </c>
      <c r="CI141" s="64">
        <v>-55.123584093307997</v>
      </c>
      <c r="CJ141" s="64">
        <v>363078.05477010203</v>
      </c>
      <c r="CK141" s="64">
        <v>-56.445707339694913</v>
      </c>
      <c r="CL141" s="64">
        <v>-157.6778030793831</v>
      </c>
      <c r="CN141" s="64">
        <v>436515.83224016603</v>
      </c>
      <c r="CO141" s="64">
        <v>-52.018722249275697</v>
      </c>
      <c r="CP141" s="64">
        <v>-244.96973788992</v>
      </c>
      <c r="CQ141" s="186">
        <v>363078.05477010203</v>
      </c>
      <c r="CR141" s="64">
        <v>-42.165108713661859</v>
      </c>
      <c r="CS141" s="64">
        <v>-155.01858271742299</v>
      </c>
      <c r="CU141" s="64">
        <v>436515.83224016603</v>
      </c>
      <c r="CV141" s="64">
        <v>-44.910571111384101</v>
      </c>
      <c r="CW141" s="64">
        <v>-146.51230452448499</v>
      </c>
      <c r="CX141" s="139">
        <v>363078.05477010203</v>
      </c>
      <c r="CY141" s="64">
        <v>-40.820772935122001</v>
      </c>
      <c r="CZ141" s="64">
        <v>-147.10996067211593</v>
      </c>
    </row>
    <row r="142" spans="2:104">
      <c r="B142" s="135">
        <f t="shared" si="58"/>
        <v>5.6000000000000005</v>
      </c>
      <c r="C142" s="139">
        <f t="shared" si="92"/>
        <v>398107.17055349785</v>
      </c>
      <c r="D142" s="139">
        <f t="shared" si="93"/>
        <v>2501381.1247045752</v>
      </c>
      <c r="E142" s="32" t="str">
        <f t="shared" si="94"/>
        <v>2501381.12470458i</v>
      </c>
      <c r="F142"/>
      <c r="G142" s="153" t="str">
        <f t="shared" si="75"/>
        <v>0.04+0.0170295517232346i</v>
      </c>
      <c r="H142" s="153" t="str">
        <f t="shared" si="76"/>
        <v>1+37.4996795119463i</v>
      </c>
      <c r="I142" t="str">
        <f t="shared" ref="I142:I177" si="121">IMDIV(G142,H142)</f>
        <v>0.000482227268011918-0.00105381627913377i</v>
      </c>
      <c r="J142"/>
      <c r="K142" t="str">
        <f t="shared" ref="K142:K177" si="122">G142</f>
        <v>0.04+0.0170295517232346i</v>
      </c>
      <c r="L142" t="str">
        <f t="shared" si="77"/>
        <v>5.43580907071529+203.841098039954i</v>
      </c>
      <c r="M142" t="str">
        <f t="shared" ref="M142:M177" si="123">IMDIV(K142,L142)</f>
        <v>0.0000887130621658245-0.000193865580160103i</v>
      </c>
      <c r="N142" s="153" t="str">
        <f t="shared" si="78"/>
        <v>0.0011+0.550303847435008i</v>
      </c>
      <c r="O142" s="135" t="str">
        <f t="shared" si="79"/>
        <v>0.000242+0.121066846435702i</v>
      </c>
      <c r="Q142" s="135" t="str">
        <f t="shared" si="80"/>
        <v>-2.50138112470458i</v>
      </c>
      <c r="R142" s="135" t="str">
        <f t="shared" si="81"/>
        <v>-2.5358291079378</v>
      </c>
      <c r="S142" s="64" t="str">
        <f t="shared" ref="S142:S177" si="124">IMSUM(1,Q142,R142)</f>
        <v>-1.5358291079378-2.50138112470458i</v>
      </c>
      <c r="T142" s="135" t="str">
        <f t="shared" si="82"/>
        <v>-0.015358291079378-0.0250138112470458i</v>
      </c>
      <c r="U142" s="64" t="str">
        <f t="shared" ref="U142:U177" si="125">IMSUM(T142,O142,M142)</f>
        <v>-0.0150275780172122+0.0958591696084961i</v>
      </c>
      <c r="W142" s="64" t="str">
        <f t="shared" ref="W142:W177" si="126">IMDIV(I142,U142)</f>
        <v>-0.0114994013250694-0.00322785101010075i</v>
      </c>
      <c r="X142" s="172">
        <f t="shared" si="95"/>
        <v>1.1943837447755904E-2</v>
      </c>
      <c r="Y142" s="188">
        <f t="shared" si="96"/>
        <v>-38.457122317353559</v>
      </c>
      <c r="Z142" s="161">
        <f t="shared" si="97"/>
        <v>-164.32071196260924</v>
      </c>
      <c r="AA142" s="161">
        <f t="shared" si="120"/>
        <v>-164.32071196260924</v>
      </c>
      <c r="AB142" s="199"/>
      <c r="AC142" s="64" t="str">
        <f t="shared" si="84"/>
        <v>-39977.9142060211i</v>
      </c>
      <c r="AD142" s="64" t="str">
        <f t="shared" si="85"/>
        <v>22000-3997.79142060211i</v>
      </c>
      <c r="AE142" s="64" t="str">
        <f t="shared" si="98"/>
        <v>14542.2401142606-10909.4928234576i</v>
      </c>
      <c r="AF142" s="64" t="str">
        <f t="shared" si="86"/>
        <v>10000</v>
      </c>
      <c r="AG142" s="64" t="str">
        <f t="shared" si="87"/>
        <v>-1025.07472323131i</v>
      </c>
      <c r="AH142" s="64" t="str">
        <f t="shared" si="99"/>
        <v>103.985165383948-1014.4154667687i</v>
      </c>
      <c r="AI142" s="64" t="str">
        <f t="shared" si="100"/>
        <v>12.0968557886178+13.0955678414202i</v>
      </c>
      <c r="AJ142" s="161">
        <f t="shared" si="101"/>
        <v>17.827726076531881</v>
      </c>
      <c r="AK142" s="161">
        <f t="shared" si="102"/>
        <v>25.021919050391141</v>
      </c>
      <c r="AL142" s="161">
        <f t="shared" si="103"/>
        <v>47.270207823227594</v>
      </c>
      <c r="AN142" s="64" t="str">
        <f t="shared" si="104"/>
        <v>-0.0968360576000339-0.189638038364497i</v>
      </c>
      <c r="AO142" s="161">
        <f t="shared" si="105"/>
        <v>0.21293146232121618</v>
      </c>
      <c r="AP142" s="161">
        <f t="shared" si="106"/>
        <v>-13.435203266962406</v>
      </c>
      <c r="AQ142" s="161">
        <f t="shared" si="107"/>
        <v>-117.05050413938159</v>
      </c>
      <c r="AR142" s="64">
        <f t="shared" si="108"/>
        <v>62.949495860618413</v>
      </c>
      <c r="AT142" s="135" t="str">
        <f t="shared" si="88"/>
        <v>-12510.8012216939i</v>
      </c>
      <c r="AU142" s="135" t="str">
        <f t="shared" si="89"/>
        <v>27456.1383070198-2239.34089341i</v>
      </c>
      <c r="AV142" s="135" t="str">
        <f t="shared" si="109"/>
        <v>4423.93584391808-10134.1493533133i</v>
      </c>
      <c r="AW142" s="135" t="str">
        <f t="shared" si="90"/>
        <v>10000</v>
      </c>
      <c r="AX142" s="135" t="str">
        <f t="shared" si="91"/>
        <v>1789.92604368691-961.594206172742i</v>
      </c>
      <c r="AY142" s="135" t="str">
        <f t="shared" si="110"/>
        <v>1574.23199390704-687.211240103841i</v>
      </c>
      <c r="AZ142" s="135" t="str">
        <f t="shared" si="111"/>
        <v>4.72081505023008-4.37670700062692i</v>
      </c>
      <c r="BA142" s="182">
        <f t="shared" si="112"/>
        <v>6.4375196238780914</v>
      </c>
      <c r="BB142" s="182">
        <f t="shared" si="113"/>
        <v>16.174371318744882</v>
      </c>
      <c r="BC142" s="182">
        <f t="shared" si="114"/>
        <v>-42.83385580473265</v>
      </c>
      <c r="BE142" s="135" t="str">
        <f t="shared" si="115"/>
        <v>-0.068413904956912+0.0350914226540657i</v>
      </c>
      <c r="BF142" s="161">
        <f t="shared" si="116"/>
        <v>7.6888687954338661E-2</v>
      </c>
      <c r="BG142" s="161">
        <f t="shared" si="117"/>
        <v>-22.282750998608677</v>
      </c>
      <c r="BH142" s="161">
        <f t="shared" si="118"/>
        <v>152.84543223265817</v>
      </c>
      <c r="BI142" s="64">
        <f t="shared" si="119"/>
        <v>-27.154567767341831</v>
      </c>
      <c r="BS142" s="64">
        <v>478630.09232263803</v>
      </c>
      <c r="BT142" s="64">
        <v>-43.850987742114199</v>
      </c>
      <c r="BU142" s="64">
        <v>-58.284424209213597</v>
      </c>
      <c r="BV142" s="186">
        <v>398107.17055349785</v>
      </c>
      <c r="BW142" s="64">
        <v>-43.793083236348316</v>
      </c>
      <c r="BX142" s="64">
        <v>-103.00250958886866</v>
      </c>
      <c r="BZ142" s="64">
        <v>478630.09232263803</v>
      </c>
      <c r="CA142" s="64">
        <v>-43.004750260527203</v>
      </c>
      <c r="CB142" s="64">
        <v>-155.70919814935999</v>
      </c>
      <c r="CC142" s="186">
        <v>398107.17055349785</v>
      </c>
      <c r="CD142" s="64">
        <v>-40.879016363729505</v>
      </c>
      <c r="CE142" s="64">
        <v>-144.81748821845287</v>
      </c>
      <c r="CG142" s="64">
        <v>478630.09232263803</v>
      </c>
      <c r="CH142" s="64">
        <v>-64.2833388762146</v>
      </c>
      <c r="CI142" s="64">
        <v>-82.024731494926897</v>
      </c>
      <c r="CJ142" s="64">
        <v>398107.17055349785</v>
      </c>
      <c r="CK142" s="64">
        <v>-58.400001094099281</v>
      </c>
      <c r="CL142" s="64">
        <v>-154.39385598488019</v>
      </c>
      <c r="CN142" s="64">
        <v>478630.09232263803</v>
      </c>
      <c r="CO142" s="64">
        <v>-71.916529292556106</v>
      </c>
      <c r="CP142" s="64">
        <v>-315.01404537351698</v>
      </c>
      <c r="CQ142" s="186">
        <v>398107.17055349785</v>
      </c>
      <c r="CR142" s="64">
        <v>-44.128035208986603</v>
      </c>
      <c r="CS142" s="64">
        <v>-154.08251345066395</v>
      </c>
      <c r="CU142" s="64">
        <v>478630.09232263803</v>
      </c>
      <c r="CV142" s="64">
        <v>-46.794929024067699</v>
      </c>
      <c r="CW142" s="64">
        <v>-143.066248078234</v>
      </c>
      <c r="CX142" s="139">
        <v>398107.17055349785</v>
      </c>
      <c r="CY142" s="64">
        <v>-42.738485966648668</v>
      </c>
      <c r="CZ142" s="64">
        <v>-145.47107081350052</v>
      </c>
    </row>
    <row r="143" spans="2:104">
      <c r="B143" s="135">
        <f t="shared" ref="B143:B170" si="127">1+B118</f>
        <v>5.6400000000000006</v>
      </c>
      <c r="C143" s="139">
        <f t="shared" si="92"/>
        <v>436515.83224016725</v>
      </c>
      <c r="D143" s="139">
        <f t="shared" si="93"/>
        <v>2742709.8634826881</v>
      </c>
      <c r="E143" s="32" t="str">
        <f t="shared" si="94"/>
        <v>2742709.86348269i</v>
      </c>
      <c r="F143"/>
      <c r="G143" s="153" t="str">
        <f t="shared" si="75"/>
        <v>0.04+0.0172503385886894i</v>
      </c>
      <c r="H143" s="153" t="str">
        <f t="shared" si="76"/>
        <v>1+42.1700018493481i</v>
      </c>
      <c r="I143" t="str">
        <f t="shared" si="121"/>
        <v>0.000431317318152355-0.000938313515451253i</v>
      </c>
      <c r="J143"/>
      <c r="K143" t="str">
        <f t="shared" si="122"/>
        <v>0.04+0.0172503385886894i</v>
      </c>
      <c r="L143" t="str">
        <f t="shared" si="77"/>
        <v>5.43580907071529+229.228078564767i</v>
      </c>
      <c r="M143" t="str">
        <f t="shared" si="123"/>
        <v>0.0000793474002749692-0.000172617084824832i</v>
      </c>
      <c r="N143" s="153" t="str">
        <f t="shared" si="78"/>
        <v>0.0011+0.603396169966192i</v>
      </c>
      <c r="O143" s="135" t="str">
        <f t="shared" si="79"/>
        <v>0.000242+0.132747157392562i</v>
      </c>
      <c r="Q143" s="135" t="str">
        <f t="shared" si="80"/>
        <v>-2.74270986348269i</v>
      </c>
      <c r="R143" s="135" t="str">
        <f t="shared" si="81"/>
        <v>-3.04873714874122</v>
      </c>
      <c r="S143" s="64" t="str">
        <f t="shared" si="124"/>
        <v>-2.04873714874122-2.74270986348269i</v>
      </c>
      <c r="T143" s="135" t="str">
        <f t="shared" si="82"/>
        <v>-0.0204873714874122-0.0274270986348269i</v>
      </c>
      <c r="U143" s="64" t="str">
        <f t="shared" si="125"/>
        <v>-0.0201660240871372+0.10514744167291i</v>
      </c>
      <c r="W143" s="64" t="str">
        <f t="shared" si="126"/>
        <v>-0.00936600112528702-0.00230573668747782i</v>
      </c>
      <c r="X143" s="172">
        <f t="shared" si="95"/>
        <v>9.6456414380205364E-3</v>
      </c>
      <c r="Y143" s="188">
        <f t="shared" si="96"/>
        <v>-40.313377726954549</v>
      </c>
      <c r="Z143" s="161">
        <f t="shared" si="97"/>
        <v>-166.16985233140264</v>
      </c>
      <c r="AA143" s="161">
        <f>IF(Z143&lt;0,Z143,-1*Z143)</f>
        <v>-166.16985233140264</v>
      </c>
      <c r="AB143" s="199"/>
      <c r="AC143" s="64" t="str">
        <f t="shared" si="84"/>
        <v>-36460.2910907318i</v>
      </c>
      <c r="AD143" s="64" t="str">
        <f t="shared" si="85"/>
        <v>22000-3646.02910907318i</v>
      </c>
      <c r="AE143" s="64" t="str">
        <f t="shared" si="98"/>
        <v>13976.3563688121-10981.1900109972i</v>
      </c>
      <c r="AF143" s="64" t="str">
        <f t="shared" si="86"/>
        <v>10000</v>
      </c>
      <c r="AG143" s="64" t="str">
        <f t="shared" si="87"/>
        <v>-934.879258736712i</v>
      </c>
      <c r="AH143" s="64" t="str">
        <f t="shared" si="99"/>
        <v>86.6426666040122-926.779215543739i</v>
      </c>
      <c r="AI143" s="64" t="str">
        <f t="shared" si="100"/>
        <v>13.1437407176976+13.8517862815334i</v>
      </c>
      <c r="AJ143" s="161">
        <f t="shared" si="101"/>
        <v>19.095284843210344</v>
      </c>
      <c r="AK143" s="161">
        <f t="shared" si="102"/>
        <v>25.618522822044078</v>
      </c>
      <c r="AL143" s="161">
        <f t="shared" si="103"/>
        <v>46.502423857601144</v>
      </c>
      <c r="AN143" s="64" t="str">
        <f t="shared" si="104"/>
        <v>-0.091165718536003-0.160041851083569i</v>
      </c>
      <c r="AO143" s="161">
        <f t="shared" si="105"/>
        <v>0.18418627075447561</v>
      </c>
      <c r="AP143" s="161">
        <f t="shared" si="106"/>
        <v>-14.694854904910448</v>
      </c>
      <c r="AQ143" s="161">
        <f t="shared" si="107"/>
        <v>-119.66742847380142</v>
      </c>
      <c r="AR143" s="64">
        <f t="shared" si="108"/>
        <v>60.332571526198578</v>
      </c>
      <c r="AT143" s="135" t="str">
        <f t="shared" si="88"/>
        <v>-11409.986323212i</v>
      </c>
      <c r="AU143" s="135" t="str">
        <f t="shared" si="89"/>
        <v>27456.1383070198-2042.30316780286i</v>
      </c>
      <c r="AV143" s="135" t="str">
        <f t="shared" si="109"/>
        <v>3823.74845509923-9536.51924697483i</v>
      </c>
      <c r="AW143" s="135" t="str">
        <f t="shared" si="90"/>
        <v>10000</v>
      </c>
      <c r="AX143" s="135" t="str">
        <f t="shared" si="91"/>
        <v>1789.92604368691-876.984339091381i</v>
      </c>
      <c r="AY143" s="135" t="str">
        <f t="shared" si="110"/>
        <v>1564.85433993601-627.441649287686i</v>
      </c>
      <c r="AZ143" s="135" t="str">
        <f t="shared" si="111"/>
        <v>4.21017423993755-4.40608458060181i</v>
      </c>
      <c r="BA143" s="182">
        <f t="shared" si="112"/>
        <v>6.0941897297385452</v>
      </c>
      <c r="BB143" s="182">
        <f t="shared" si="113"/>
        <v>15.698319418789337</v>
      </c>
      <c r="BC143" s="182">
        <f t="shared" si="114"/>
        <v>-46.302526091944529</v>
      </c>
      <c r="BE143" s="135" t="str">
        <f t="shared" si="115"/>
        <v>-0.0495917675345334+0.0315598399343283i</v>
      </c>
      <c r="BF143" s="161">
        <f t="shared" si="116"/>
        <v>5.878236898832527E-2</v>
      </c>
      <c r="BG143" s="161">
        <f t="shared" si="117"/>
        <v>-24.615058308165207</v>
      </c>
      <c r="BH143" s="161">
        <f t="shared" si="118"/>
        <v>147.52762157665279</v>
      </c>
      <c r="BI143" s="64">
        <f t="shared" si="119"/>
        <v>-32.472378423347209</v>
      </c>
      <c r="BS143" s="64">
        <v>524807.46024977195</v>
      </c>
      <c r="BT143" s="64">
        <v>-43.118378910408403</v>
      </c>
      <c r="BU143" s="64">
        <v>-53.719813180025902</v>
      </c>
      <c r="BV143" s="186">
        <v>436515.83224016725</v>
      </c>
      <c r="BW143" s="64">
        <v>-44.481946577684717</v>
      </c>
      <c r="BX143" s="64">
        <v>-111.30876469398449</v>
      </c>
      <c r="BZ143" s="64">
        <v>524807.46024977195</v>
      </c>
      <c r="CA143" s="64">
        <v>-45.068036626520801</v>
      </c>
      <c r="CB143" s="64">
        <v>-160.855979482972</v>
      </c>
      <c r="CC143" s="186">
        <v>436515.83224016725</v>
      </c>
      <c r="CD143" s="64">
        <v>-42.870879251301574</v>
      </c>
      <c r="CE143" s="64">
        <v>-142.58617777078607</v>
      </c>
      <c r="CG143" s="64">
        <v>524807.46024977195</v>
      </c>
      <c r="CH143" s="64">
        <v>-63.6748199163085</v>
      </c>
      <c r="CI143" s="64">
        <v>-81.192829118705802</v>
      </c>
      <c r="CJ143" s="64">
        <v>436515.83224016725</v>
      </c>
      <c r="CK143" s="64">
        <v>-60.409555374284437</v>
      </c>
      <c r="CL143" s="64">
        <v>-150.18131149917073</v>
      </c>
      <c r="CN143" s="64">
        <v>524807.46024977195</v>
      </c>
      <c r="CO143" s="64">
        <v>-70.385253991438603</v>
      </c>
      <c r="CP143" s="64">
        <v>-326.249447378772</v>
      </c>
      <c r="CQ143" s="186">
        <v>436515.83224016725</v>
      </c>
      <c r="CR143" s="64">
        <v>-46.168404524773969</v>
      </c>
      <c r="CS143" s="64">
        <v>-152.19401565563999</v>
      </c>
      <c r="CU143" s="64">
        <v>524807.46024977195</v>
      </c>
      <c r="CV143" s="64">
        <v>-48.6072131484352</v>
      </c>
      <c r="CW143" s="64">
        <v>-138.165089390124</v>
      </c>
      <c r="CX143" s="139">
        <v>436515.83224016725</v>
      </c>
      <c r="CY143" s="64">
        <v>-44.721886136449939</v>
      </c>
      <c r="CZ143" s="64">
        <v>-142.84075279509256</v>
      </c>
    </row>
    <row r="144" spans="2:104">
      <c r="B144" s="135">
        <f t="shared" si="127"/>
        <v>5.6800000000000006</v>
      </c>
      <c r="C144" s="139">
        <f t="shared" si="92"/>
        <v>478630.0923226396</v>
      </c>
      <c r="D144" s="139">
        <f t="shared" si="93"/>
        <v>3007321.5636556181</v>
      </c>
      <c r="E144" s="32" t="str">
        <f t="shared" si="94"/>
        <v>3007321.56365562i</v>
      </c>
      <c r="F144"/>
      <c r="G144" s="153" t="str">
        <f t="shared" si="75"/>
        <v>0.04+0.0178141613316838i</v>
      </c>
      <c r="H144" s="153" t="str">
        <f t="shared" si="76"/>
        <v>1+48.0224598455302i</v>
      </c>
      <c r="I144" t="str">
        <f t="shared" si="121"/>
        <v>0.000388131359603083-0.000824861299646313i</v>
      </c>
      <c r="J144"/>
      <c r="K144" t="str">
        <f t="shared" si="122"/>
        <v>0.04+0.0178141613316838i</v>
      </c>
      <c r="L144" t="str">
        <f t="shared" si="77"/>
        <v>5.43580907071529+261.040922826394i</v>
      </c>
      <c r="M144" t="str">
        <f t="shared" si="123"/>
        <v>0.0000714026844125358-0.000151745819052061i</v>
      </c>
      <c r="N144" s="153" t="str">
        <f t="shared" si="78"/>
        <v>0.0011+0.661610744004236i</v>
      </c>
      <c r="O144" s="135" t="str">
        <f t="shared" si="79"/>
        <v>0.000242+0.145554363680932i</v>
      </c>
      <c r="Q144" s="135" t="str">
        <f t="shared" si="80"/>
        <v>-3.00732156365562i</v>
      </c>
      <c r="R144" s="135" t="str">
        <f t="shared" si="81"/>
        <v>-3.66538824442846</v>
      </c>
      <c r="S144" s="64" t="str">
        <f t="shared" si="124"/>
        <v>-2.66538824442846-3.00732156365562i</v>
      </c>
      <c r="T144" s="135" t="str">
        <f t="shared" si="82"/>
        <v>-0.0266538824442846-0.0300732156365562i</v>
      </c>
      <c r="U144" s="64" t="str">
        <f t="shared" si="125"/>
        <v>-0.0263404797598721+0.115329402225324i</v>
      </c>
      <c r="W144" s="64" t="str">
        <f t="shared" si="126"/>
        <v>-0.00752816336684157-0.00164603233127743i</v>
      </c>
      <c r="X144" s="172">
        <f t="shared" si="95"/>
        <v>7.7060149307840052E-3</v>
      </c>
      <c r="Y144" s="188">
        <f t="shared" si="96"/>
        <v>-42.263403077104478</v>
      </c>
      <c r="Z144" s="161">
        <f t="shared" si="97"/>
        <v>-167.66638504222036</v>
      </c>
      <c r="AA144" s="161">
        <f t="shared" ref="AA144:AA178" si="128">IF(Z144&lt;0,Z144,-1*Z144)</f>
        <v>-167.66638504222036</v>
      </c>
      <c r="AB144" s="199"/>
      <c r="AC144" s="64" t="str">
        <f t="shared" si="84"/>
        <v>-33252.1806808191i</v>
      </c>
      <c r="AD144" s="64" t="str">
        <f t="shared" si="85"/>
        <v>22000-3325.21806808191i</v>
      </c>
      <c r="AE144" s="64" t="str">
        <f t="shared" si="98"/>
        <v>13351.7119520352-11053.5037694529i</v>
      </c>
      <c r="AF144" s="64" t="str">
        <f t="shared" si="86"/>
        <v>10000</v>
      </c>
      <c r="AG144" s="64" t="str">
        <f t="shared" si="87"/>
        <v>-852.6200174569i</v>
      </c>
      <c r="AH144" s="64" t="str">
        <f t="shared" si="99"/>
        <v>72.1714313342589-846.466536752489i</v>
      </c>
      <c r="AI144" s="64" t="str">
        <f t="shared" si="100"/>
        <v>14.299332888735+14.5542772164335i</v>
      </c>
      <c r="AJ144" s="161">
        <f t="shared" si="101"/>
        <v>20.403379777763625</v>
      </c>
      <c r="AK144" s="161">
        <f t="shared" si="102"/>
        <v>26.194042267395922</v>
      </c>
      <c r="AL144" s="161">
        <f t="shared" si="103"/>
        <v>45.506240079426263</v>
      </c>
      <c r="AN144" s="64" t="str">
        <f t="shared" si="104"/>
        <v>-0.0836909031666237-0.133104140822168i</v>
      </c>
      <c r="AO144" s="161">
        <f t="shared" si="105"/>
        <v>0.15722874920590293</v>
      </c>
      <c r="AP144" s="161">
        <f t="shared" si="106"/>
        <v>-16.069360809708549</v>
      </c>
      <c r="AQ144" s="161">
        <f t="shared" si="107"/>
        <v>-122.16014496279415</v>
      </c>
      <c r="AR144" s="64">
        <f t="shared" si="108"/>
        <v>57.839855037205851</v>
      </c>
      <c r="AT144" s="135" t="str">
        <f t="shared" si="88"/>
        <v>-10406.031203672i</v>
      </c>
      <c r="AU144" s="135" t="str">
        <f t="shared" si="89"/>
        <v>27456.1383070198-1862.60262628712i</v>
      </c>
      <c r="AV144" s="135" t="str">
        <f t="shared" si="109"/>
        <v>3287.52361677859-8937.018227026i</v>
      </c>
      <c r="AW144" s="135" t="str">
        <f t="shared" si="90"/>
        <v>10000</v>
      </c>
      <c r="AX144" s="135" t="str">
        <f t="shared" si="91"/>
        <v>1789.92604368691-799.819223196718i</v>
      </c>
      <c r="AY144" s="135" t="str">
        <f t="shared" si="110"/>
        <v>1557.03843049402-572.763810305488i</v>
      </c>
      <c r="AZ144" s="135" t="str">
        <f t="shared" si="111"/>
        <v>3.71948139408171-4.37152594186887i</v>
      </c>
      <c r="BA144" s="182">
        <f t="shared" si="112"/>
        <v>5.7397544286626534</v>
      </c>
      <c r="BB144" s="182">
        <f t="shared" si="113"/>
        <v>15.177866236258533</v>
      </c>
      <c r="BC144" s="182">
        <f t="shared" si="114"/>
        <v>-49.607440736059679</v>
      </c>
      <c r="BE144" s="135" t="str">
        <f t="shared" si="115"/>
        <v>-0.0351965366119089+0.0267871748225315i</v>
      </c>
      <c r="BF144" s="161">
        <f t="shared" si="116"/>
        <v>4.4230633326308021E-2</v>
      </c>
      <c r="BG144" s="161">
        <f t="shared" si="117"/>
        <v>-27.08553684084594</v>
      </c>
      <c r="BH144" s="161">
        <f t="shared" si="118"/>
        <v>142.72617422171987</v>
      </c>
      <c r="BI144" s="64">
        <f t="shared" si="119"/>
        <v>-37.273825778280127</v>
      </c>
      <c r="BS144" s="64">
        <v>575439.93733715604</v>
      </c>
      <c r="BT144" s="64">
        <v>-42.435999901761498</v>
      </c>
      <c r="BU144" s="64">
        <v>-50.743327656056401</v>
      </c>
      <c r="BV144" s="186">
        <v>478630.0923226396</v>
      </c>
      <c r="BW144" s="64">
        <v>-44.282287644509239</v>
      </c>
      <c r="BX144" s="64">
        <v>-128.53306887375058</v>
      </c>
      <c r="BZ144" s="64">
        <v>575439.93733715604</v>
      </c>
      <c r="CA144" s="64">
        <v>-47.834398391202903</v>
      </c>
      <c r="CB144" s="64">
        <v>-166.351349493968</v>
      </c>
      <c r="CC144" s="186">
        <v>478630.0923226396</v>
      </c>
      <c r="CD144" s="64">
        <v>-44.925272143773618</v>
      </c>
      <c r="CE144" s="64">
        <v>-139.00475806285166</v>
      </c>
      <c r="CG144" s="64">
        <v>575439.93733715604</v>
      </c>
      <c r="CH144" s="64">
        <v>-58.274921049950002</v>
      </c>
      <c r="CI144" s="64">
        <v>-68.287005202832802</v>
      </c>
      <c r="CJ144" s="64">
        <v>478630.0923226396</v>
      </c>
      <c r="CK144" s="64">
        <v>-62.465245196468253</v>
      </c>
      <c r="CL144" s="64">
        <v>-144.69658643677161</v>
      </c>
      <c r="CN144" s="64">
        <v>575439.93733715604</v>
      </c>
      <c r="CO144" s="64">
        <v>-56.846485597285003</v>
      </c>
      <c r="CP144" s="64">
        <v>-392.78622894933301</v>
      </c>
      <c r="CQ144" s="186">
        <v>478630.0923226396</v>
      </c>
      <c r="CR144" s="64">
        <v>-48.277142894317286</v>
      </c>
      <c r="CS144" s="64">
        <v>-149.01131153650692</v>
      </c>
      <c r="CU144" s="64">
        <v>575439.93733715604</v>
      </c>
      <c r="CV144" s="64">
        <v>-50.202364741677897</v>
      </c>
      <c r="CW144" s="64">
        <v>-131.792274862791</v>
      </c>
      <c r="CX144" s="139">
        <v>478630.0923226396</v>
      </c>
      <c r="CY144" s="64">
        <v>-46.761118405293615</v>
      </c>
      <c r="CZ144" s="64">
        <v>-138.88373715979318</v>
      </c>
    </row>
    <row r="145" spans="2:104">
      <c r="B145" s="135">
        <f t="shared" si="127"/>
        <v>5.7200000000000006</v>
      </c>
      <c r="C145" s="139">
        <f t="shared" si="92"/>
        <v>524807.46024977381</v>
      </c>
      <c r="D145" s="139">
        <f t="shared" si="93"/>
        <v>3297462.5233396133</v>
      </c>
      <c r="E145" s="32" t="str">
        <f t="shared" si="94"/>
        <v>3297462.52333961i</v>
      </c>
      <c r="F145"/>
      <c r="G145" s="153" t="str">
        <f t="shared" si="75"/>
        <v>0.04+0.0188414857688198i</v>
      </c>
      <c r="H145" s="153" t="str">
        <f t="shared" si="76"/>
        <v>1+55.5348640429085i</v>
      </c>
      <c r="I145" t="str">
        <f t="shared" si="121"/>
        <v>0.000352128589699003-0.000713927585735466i</v>
      </c>
      <c r="J145"/>
      <c r="K145" t="str">
        <f t="shared" si="122"/>
        <v>0.04+0.0188414857688198i</v>
      </c>
      <c r="L145" t="str">
        <f t="shared" si="77"/>
        <v>5.43580907071529+301.876917705382i</v>
      </c>
      <c r="M145" t="str">
        <f t="shared" si="123"/>
        <v>0.0000647794256785159-0.000131337870121609i</v>
      </c>
      <c r="N145" s="153" t="str">
        <f t="shared" si="78"/>
        <v>0.0011+0.725441755134714i</v>
      </c>
      <c r="O145" s="135" t="str">
        <f t="shared" si="79"/>
        <v>0.000242+0.159597186129637i</v>
      </c>
      <c r="Q145" s="135" t="str">
        <f t="shared" si="80"/>
        <v>-3.29746252333961i</v>
      </c>
      <c r="R145" s="135" t="str">
        <f t="shared" si="81"/>
        <v>-4.40676592534107</v>
      </c>
      <c r="S145" s="64" t="str">
        <f t="shared" si="124"/>
        <v>-3.40676592534107-3.29746252333961i</v>
      </c>
      <c r="T145" s="135" t="str">
        <f t="shared" si="82"/>
        <v>-0.0340676592534107-0.0329746252333961i</v>
      </c>
      <c r="U145" s="64" t="str">
        <f t="shared" si="125"/>
        <v>-0.0337608798277322+0.126491223026119i</v>
      </c>
      <c r="W145" s="64" t="str">
        <f t="shared" si="126"/>
        <v>-0.00596235582761226-0.00119244804109184i</v>
      </c>
      <c r="X145" s="172">
        <f t="shared" si="95"/>
        <v>6.0804292073640366E-3</v>
      </c>
      <c r="Y145" s="188">
        <f t="shared" si="96"/>
        <v>-44.321315270431086</v>
      </c>
      <c r="Z145" s="161">
        <f t="shared" si="97"/>
        <v>-168.69028119559815</v>
      </c>
      <c r="AA145" s="161">
        <f t="shared" si="128"/>
        <v>-168.69028119559815</v>
      </c>
      <c r="AB145" s="199"/>
      <c r="AC145" s="64" t="str">
        <f t="shared" si="84"/>
        <v>-30326.3492131282i</v>
      </c>
      <c r="AD145" s="64" t="str">
        <f t="shared" si="85"/>
        <v>22000-3032.63492131282i</v>
      </c>
      <c r="AE145" s="64" t="str">
        <f t="shared" si="98"/>
        <v>12670.8714524439-11113.2855880546i</v>
      </c>
      <c r="AF145" s="64" t="str">
        <f t="shared" si="86"/>
        <v>10000</v>
      </c>
      <c r="AG145" s="64" t="str">
        <f t="shared" si="87"/>
        <v>-777.598697772518i</v>
      </c>
      <c r="AH145" s="64" t="str">
        <f t="shared" si="99"/>
        <v>60.1025575128996-772.925130727035i</v>
      </c>
      <c r="AI145" s="64" t="str">
        <f t="shared" si="100"/>
        <v>15.5588878129787+15.1835437046647i</v>
      </c>
      <c r="AJ145" s="161">
        <f t="shared" si="101"/>
        <v>21.739801963410802</v>
      </c>
      <c r="AK145" s="161">
        <f t="shared" si="102"/>
        <v>26.745111672107967</v>
      </c>
      <c r="AL145" s="161">
        <f t="shared" si="103"/>
        <v>44.300492390844596</v>
      </c>
      <c r="AN145" s="64" t="str">
        <f t="shared" si="104"/>
        <v>-0.0746620384754192-0.109082855585467i</v>
      </c>
      <c r="AO145" s="161">
        <f t="shared" si="105"/>
        <v>0.13218732682063297</v>
      </c>
      <c r="AP145" s="161">
        <f t="shared" si="106"/>
        <v>-17.576203598323126</v>
      </c>
      <c r="AQ145" s="161">
        <f t="shared" si="107"/>
        <v>-124.38978880475359</v>
      </c>
      <c r="AR145" s="64">
        <f t="shared" si="108"/>
        <v>55.610211195246407</v>
      </c>
      <c r="AT145" s="135" t="str">
        <f t="shared" si="88"/>
        <v>-9490.41325242473i</v>
      </c>
      <c r="AU145" s="135" t="str">
        <f t="shared" si="89"/>
        <v>27456.1383070198-1698.71378458664i</v>
      </c>
      <c r="AV145" s="135" t="str">
        <f t="shared" si="109"/>
        <v>2813.2154464876-8343.95104199856i</v>
      </c>
      <c r="AW145" s="135" t="str">
        <f t="shared" si="90"/>
        <v>10000</v>
      </c>
      <c r="AX145" s="135" t="str">
        <f t="shared" si="91"/>
        <v>1789.92604368691-729.443801080631i</v>
      </c>
      <c r="AY145" s="135" t="str">
        <f t="shared" si="110"/>
        <v>1550.52639759679-522.769703459484i</v>
      </c>
      <c r="AZ145" s="135" t="str">
        <f t="shared" si="111"/>
        <v>3.25833404393685-4.2827988806706i</v>
      </c>
      <c r="BA145" s="182">
        <f t="shared" si="112"/>
        <v>5.3813666474373596</v>
      </c>
      <c r="BB145" s="182">
        <f t="shared" si="113"/>
        <v>14.61785165484638</v>
      </c>
      <c r="BC145" s="182">
        <f t="shared" si="114"/>
        <v>-52.736286475153179</v>
      </c>
      <c r="BE145" s="135" t="str">
        <f t="shared" si="115"/>
        <v>-0.0245343621108203+0.0216501768167423i</v>
      </c>
      <c r="BF145" s="161">
        <f t="shared" si="116"/>
        <v>3.2721018938612845E-2</v>
      </c>
      <c r="BG145" s="161">
        <f t="shared" si="117"/>
        <v>-29.703463615584699</v>
      </c>
      <c r="BH145" s="161">
        <f t="shared" si="118"/>
        <v>138.57343232924867</v>
      </c>
      <c r="BI145" s="64">
        <f t="shared" si="119"/>
        <v>-41.426567670751325</v>
      </c>
      <c r="BS145" s="64">
        <v>630957.34448019206</v>
      </c>
      <c r="BT145" s="64">
        <v>-41.881668032842903</v>
      </c>
      <c r="BU145" s="64">
        <v>-50.197941927054103</v>
      </c>
      <c r="BV145" s="186">
        <v>524807.46024977381</v>
      </c>
      <c r="BW145" s="64">
        <v>-43.669521116575332</v>
      </c>
      <c r="BX145" s="64">
        <v>-141.45769326782494</v>
      </c>
      <c r="BZ145" s="64">
        <v>630957.34448019206</v>
      </c>
      <c r="CA145" s="64">
        <v>-51.270154721150597</v>
      </c>
      <c r="CB145" s="64">
        <v>-170.551872332209</v>
      </c>
      <c r="CC145" s="186">
        <v>524807.46024977381</v>
      </c>
      <c r="CD145" s="64">
        <v>-47.007514859616819</v>
      </c>
      <c r="CE145" s="64">
        <v>-133.61695555118749</v>
      </c>
      <c r="CG145" s="64">
        <v>630957.34448019206</v>
      </c>
      <c r="CH145" s="64">
        <v>-61.637548890875102</v>
      </c>
      <c r="CI145" s="64">
        <v>-175.72625131924499</v>
      </c>
      <c r="CJ145" s="64">
        <v>524807.46024977381</v>
      </c>
      <c r="CK145" s="64">
        <v>-64.5334227894148</v>
      </c>
      <c r="CL145" s="64">
        <v>-137.47961904449332</v>
      </c>
      <c r="CN145" s="64">
        <v>630957.34448019206</v>
      </c>
      <c r="CO145" s="64">
        <v>-54.340300484233303</v>
      </c>
      <c r="CP145" s="64">
        <v>-402.98965457548599</v>
      </c>
      <c r="CQ145" s="186">
        <v>524807.46024977381</v>
      </c>
      <c r="CR145" s="64">
        <v>-50.420870248622919</v>
      </c>
      <c r="CS145" s="64">
        <v>-144.07539286646085</v>
      </c>
      <c r="CU145" s="64">
        <v>630957.34448019206</v>
      </c>
      <c r="CV145" s="64">
        <v>-51.331604226156102</v>
      </c>
      <c r="CW145" s="64">
        <v>-124.950841233921</v>
      </c>
      <c r="CX145" s="139">
        <v>524807.46024977381</v>
      </c>
      <c r="CY145" s="64">
        <v>-48.822052383109245</v>
      </c>
      <c r="CZ145" s="64">
        <v>-133.14830379179503</v>
      </c>
    </row>
    <row r="146" spans="2:104">
      <c r="B146" s="135">
        <f t="shared" si="127"/>
        <v>5.7600000000000007</v>
      </c>
      <c r="C146" s="139">
        <f t="shared" si="92"/>
        <v>575439.93733715895</v>
      </c>
      <c r="D146" s="139">
        <f t="shared" si="93"/>
        <v>3615595.7594411788</v>
      </c>
      <c r="E146" s="32" t="str">
        <f t="shared" si="94"/>
        <v>3615595.75944118i</v>
      </c>
      <c r="F146"/>
      <c r="G146" s="153" t="str">
        <f t="shared" ref="G146:G177" si="129">IMPRODUCT(Ro_p,IMSUM(1,IMPRODUCT(AF296*AC296,E146)))</f>
        <v>0.04+0.0205270143939414i</v>
      </c>
      <c r="H146" s="153" t="str">
        <f t="shared" ref="H146:H177" si="130">IMSUM(1,IMPRODUCT((Ro_p+AC296)*AF296,E146))</f>
        <v>1+65.4941467498497i</v>
      </c>
      <c r="I146" t="str">
        <f t="shared" si="121"/>
        <v>0.000322667450179034-0.00060581493948407i</v>
      </c>
      <c r="J146"/>
      <c r="K146" t="str">
        <f t="shared" si="122"/>
        <v>0.04+0.0205270143939414i</v>
      </c>
      <c r="L146" t="str">
        <f t="shared" ref="L146:L178" si="131">IMPRODUCT(Km,H146)</f>
        <v>5.43580907071529+356.013676981591i</v>
      </c>
      <c r="M146" t="str">
        <f t="shared" si="123"/>
        <v>0.0000593595996440278-0.000111448899621552i</v>
      </c>
      <c r="N146" s="153" t="str">
        <f t="shared" ref="N146:N178" si="132">IMSUM((Rs_p+DCRp),IMPRODUCT(Lp,E146))</f>
        <v>0.0011+0.79543106707706i</v>
      </c>
      <c r="O146" s="135" t="str">
        <f t="shared" ref="O146:O177" si="133">IMPRODUCT((1/Np/Kmp),N146)</f>
        <v>0.000242+0.174994834756953i</v>
      </c>
      <c r="Q146" s="135" t="str">
        <f t="shared" ref="Q146:Q178" si="134">IMDIV(E146,(Wn*Qz))</f>
        <v>-3.61559575944118i</v>
      </c>
      <c r="R146" s="135" t="str">
        <f t="shared" ref="R146:R178" si="135">IMDIV(IMPRODUCT(E146,E146),IMPRODUCT(Wn,Wn))</f>
        <v>-5.29809794372148</v>
      </c>
      <c r="S146" s="64" t="str">
        <f t="shared" si="124"/>
        <v>-4.29809794372148-3.61559575944118i</v>
      </c>
      <c r="T146" s="135" t="str">
        <f t="shared" ref="T146:T177" si="136">IMPRODUCT(Ri/Np,S146)</f>
        <v>-0.0429809794372148-0.0361559575944118i</v>
      </c>
      <c r="U146" s="64" t="str">
        <f t="shared" si="125"/>
        <v>-0.0426796198375708+0.13872742826292i</v>
      </c>
      <c r="W146" s="64" t="str">
        <f t="shared" si="126"/>
        <v>-0.00464305180445524-0.00089747042699281i</v>
      </c>
      <c r="X146" s="172">
        <f t="shared" si="95"/>
        <v>4.7289938915356742E-3</v>
      </c>
      <c r="Y146" s="188">
        <f t="shared" si="96"/>
        <v>-46.504624939289968</v>
      </c>
      <c r="Z146" s="161">
        <f t="shared" si="97"/>
        <v>-169.06003020355919</v>
      </c>
      <c r="AA146" s="161">
        <f t="shared" si="128"/>
        <v>-169.06003020355919</v>
      </c>
      <c r="AB146" s="199"/>
      <c r="AC146" s="64" t="str">
        <f t="shared" ref="AC146:AC177" si="137">COMPLEX(0,-1/D146/_C1u)</f>
        <v>-27657.9592004654i</v>
      </c>
      <c r="AD146" s="64" t="str">
        <f t="shared" ref="AD146:AD177" si="138">COMPLEX(_R2u, -1/D146/_C2u)</f>
        <v>22000-2765.79592004654i</v>
      </c>
      <c r="AE146" s="64" t="str">
        <f t="shared" si="98"/>
        <v>11938.9339863098-11147.6317459451i</v>
      </c>
      <c r="AF146" s="64" t="str">
        <f t="shared" ref="AF146:AF178" si="139">COMPLEX(_R1u,0)</f>
        <v>10000</v>
      </c>
      <c r="AG146" s="64" t="str">
        <f t="shared" ref="AG146:AG177" si="140">COMPLEX(_R3u,-1/D146/_C3u)</f>
        <v>-709.178441037576i</v>
      </c>
      <c r="AH146" s="64" t="str">
        <f t="shared" si="99"/>
        <v>50.0417292221607-705.629589485916i</v>
      </c>
      <c r="AI146" s="64" t="str">
        <f t="shared" si="100"/>
        <v>16.9129721253269+15.7201168717339i</v>
      </c>
      <c r="AJ146" s="161">
        <f t="shared" si="101"/>
        <v>23.090489396568827</v>
      </c>
      <c r="AK146" s="161">
        <f t="shared" si="102"/>
        <v>27.26866275533521</v>
      </c>
      <c r="AL146" s="161">
        <f t="shared" si="103"/>
        <v>42.906567909179884</v>
      </c>
      <c r="AN146" s="64" t="str">
        <f t="shared" si="104"/>
        <v>-0.0644194657439483-0.088168209322586i</v>
      </c>
      <c r="AO146" s="161">
        <f t="shared" si="105"/>
        <v>0.10919478330894324</v>
      </c>
      <c r="AP146" s="161">
        <f t="shared" si="106"/>
        <v>-19.235962183954751</v>
      </c>
      <c r="AQ146" s="161">
        <f t="shared" si="107"/>
        <v>-126.15346229437927</v>
      </c>
      <c r="AR146" s="64">
        <f t="shared" si="108"/>
        <v>53.846537705620733</v>
      </c>
      <c r="AT146" s="135" t="str">
        <f t="shared" ref="AT146:AT177" si="141">COMPLEX(0,-1/D146/_C1c)</f>
        <v>-8655.35975617832i</v>
      </c>
      <c r="AU146" s="135" t="str">
        <f t="shared" ref="AU146:AU177" si="142">COMPLEX(_R2c, -1/D146/_C2c)</f>
        <v>27456.1383070198-1549.24538450632i</v>
      </c>
      <c r="AV146" s="135" t="str">
        <f t="shared" si="109"/>
        <v>2397.374210081-7764.32923634435i</v>
      </c>
      <c r="AW146" s="135" t="str">
        <f t="shared" ref="AW146:AW178" si="143">COMPLEX(_R1c,0)</f>
        <v>10000</v>
      </c>
      <c r="AX146" s="135" t="str">
        <f t="shared" ref="AX146:AX177" si="144">COMPLEX(_R3c,-1/D146/_C3c)</f>
        <v>1789.92604368691-665.260653286511i</v>
      </c>
      <c r="AY146" s="135" t="str">
        <f t="shared" si="110"/>
        <v>1545.10226706502-477.077699083176i</v>
      </c>
      <c r="AZ146" s="135" t="str">
        <f t="shared" si="111"/>
        <v>2.83309173677153-4.15035592527803i</v>
      </c>
      <c r="BA146" s="182">
        <f t="shared" si="112"/>
        <v>5.0251231920673929</v>
      </c>
      <c r="BB146" s="182">
        <f t="shared" si="113"/>
        <v>14.022934261071525</v>
      </c>
      <c r="BC146" s="182">
        <f t="shared" si="114"/>
        <v>-55.6820012923326</v>
      </c>
      <c r="BE146" s="135" t="str">
        <f t="shared" si="115"/>
        <v>-0.0168790134050357+0.0167277015172835i</v>
      </c>
      <c r="BF146" s="161">
        <f t="shared" si="116"/>
        <v>2.3763776879500941E-2</v>
      </c>
      <c r="BG146" s="161">
        <f t="shared" si="117"/>
        <v>-32.481690678218442</v>
      </c>
      <c r="BH146" s="161">
        <f t="shared" si="118"/>
        <v>135.25796850410825</v>
      </c>
      <c r="BI146" s="64">
        <f t="shared" si="119"/>
        <v>-44.742031495891752</v>
      </c>
      <c r="BS146" s="64">
        <v>691830.97091893596</v>
      </c>
      <c r="BT146" s="64">
        <v>-41.552630974602003</v>
      </c>
      <c r="BU146" s="64">
        <v>-52.883451504318103</v>
      </c>
      <c r="BV146" s="186">
        <v>575439.93733715895</v>
      </c>
      <c r="BW146" s="64">
        <v>-43.001360839913509</v>
      </c>
      <c r="BX146" s="64">
        <v>-150.74709240143605</v>
      </c>
      <c r="BZ146" s="64">
        <v>691830.97091893596</v>
      </c>
      <c r="CA146" s="64">
        <v>-55.375996552231001</v>
      </c>
      <c r="CB146" s="64">
        <v>-178.346169441303</v>
      </c>
      <c r="CC146" s="186">
        <v>575439.93733715895</v>
      </c>
      <c r="CD146" s="64">
        <v>-49.033801316148271</v>
      </c>
      <c r="CE146" s="64">
        <v>-125.9032744297083</v>
      </c>
      <c r="CG146" s="64">
        <v>691830.97091893596</v>
      </c>
      <c r="CH146" s="64">
        <v>-69.5723207531166</v>
      </c>
      <c r="CI146" s="64">
        <v>-157.90675670888601</v>
      </c>
      <c r="CJ146" s="64">
        <v>575439.93733715895</v>
      </c>
      <c r="CK146" s="64">
        <v>-66.531175288844125</v>
      </c>
      <c r="CL146" s="64">
        <v>-128.00702230093549</v>
      </c>
      <c r="CN146" s="64">
        <v>691830.97091893596</v>
      </c>
      <c r="CO146" s="64">
        <v>-50.348035899514301</v>
      </c>
      <c r="CP146" s="64">
        <v>-404.50199287236802</v>
      </c>
      <c r="CQ146" s="186">
        <v>575439.93733715895</v>
      </c>
      <c r="CR146" s="64">
        <v>-52.517124021019981</v>
      </c>
      <c r="CS146" s="64">
        <v>-136.86282395436953</v>
      </c>
      <c r="CU146" s="64">
        <v>691830.97091893596</v>
      </c>
      <c r="CV146" s="64">
        <v>-51.810106889828603</v>
      </c>
      <c r="CW146" s="64">
        <v>-121.514345271023</v>
      </c>
      <c r="CX146" s="139">
        <v>575439.93733715895</v>
      </c>
      <c r="CY146" s="64">
        <v>-50.821532358653762</v>
      </c>
      <c r="CZ146" s="64">
        <v>-125.11922508282613</v>
      </c>
    </row>
    <row r="147" spans="2:104">
      <c r="B147" s="135">
        <f t="shared" si="127"/>
        <v>5.8000000000000007</v>
      </c>
      <c r="C147" s="139">
        <f t="shared" si="92"/>
        <v>630957.34448019532</v>
      </c>
      <c r="D147" s="139">
        <f t="shared" si="93"/>
        <v>3964421.916295012</v>
      </c>
      <c r="E147" s="32" t="str">
        <f t="shared" si="94"/>
        <v>3964421.91629501i</v>
      </c>
      <c r="F147"/>
      <c r="G147" s="153" t="str">
        <f t="shared" si="129"/>
        <v>0.04+0.0232130817908385i</v>
      </c>
      <c r="H147" s="153" t="str">
        <f t="shared" si="130"/>
        <v>1+79.297514418825i</v>
      </c>
      <c r="I147" t="str">
        <f t="shared" si="121"/>
        <v>0.000299047708910173-0.000500658218382504i</v>
      </c>
      <c r="J147"/>
      <c r="K147" t="str">
        <f t="shared" si="122"/>
        <v>0.04+0.0232130817908385i</v>
      </c>
      <c r="L147" t="str">
        <f t="shared" si="131"/>
        <v>5.43580907071529+431.046148163025i</v>
      </c>
      <c r="M147" t="str">
        <f t="shared" si="123"/>
        <v>0.0000550143879263997-0.0000921037166444522i</v>
      </c>
      <c r="N147" s="153" t="str">
        <f t="shared" si="132"/>
        <v>0.0011+0.872172821584902i</v>
      </c>
      <c r="O147" s="135" t="str">
        <f t="shared" si="133"/>
        <v>0.000242+0.191878020748678i</v>
      </c>
      <c r="Q147" s="135" t="str">
        <f t="shared" si="134"/>
        <v>-3.96442191629501i</v>
      </c>
      <c r="R147" s="135" t="str">
        <f t="shared" si="135"/>
        <v>-6.36971472885599</v>
      </c>
      <c r="S147" s="64" t="str">
        <f t="shared" si="124"/>
        <v>-5.36971472885599-3.96442191629501i</v>
      </c>
      <c r="T147" s="135" t="str">
        <f t="shared" si="136"/>
        <v>-0.0536971472885599-0.0396442191629501i</v>
      </c>
      <c r="U147" s="64" t="str">
        <f t="shared" si="125"/>
        <v>-0.0534001329006335+0.152141697869083i</v>
      </c>
      <c r="W147" s="64" t="str">
        <f t="shared" si="126"/>
        <v>-0.00354403426377387-0.000721668088091985i</v>
      </c>
      <c r="X147" s="172">
        <f t="shared" si="95"/>
        <v>3.6167642572019457E-3</v>
      </c>
      <c r="Y147" s="188">
        <f t="shared" si="96"/>
        <v>-48.833595957656321</v>
      </c>
      <c r="Z147" s="161">
        <f t="shared" si="97"/>
        <v>-168.49027955980125</v>
      </c>
      <c r="AA147" s="161">
        <f t="shared" si="128"/>
        <v>-168.49027955980125</v>
      </c>
      <c r="AB147" s="199"/>
      <c r="AC147" s="64" t="str">
        <f t="shared" si="137"/>
        <v>-25224.358585288i</v>
      </c>
      <c r="AD147" s="64" t="str">
        <f t="shared" si="138"/>
        <v>22000-2522.4358585288i</v>
      </c>
      <c r="AE147" s="64" t="str">
        <f t="shared" si="98"/>
        <v>11163.6284802991-11144.5901902881i</v>
      </c>
      <c r="AF147" s="64" t="str">
        <f t="shared" si="139"/>
        <v>10000</v>
      </c>
      <c r="AG147" s="64" t="str">
        <f t="shared" si="140"/>
        <v>-646.778425263795i</v>
      </c>
      <c r="AH147" s="64" t="str">
        <f t="shared" si="99"/>
        <v>41.6579685534105-644.084077733729i</v>
      </c>
      <c r="AI147" s="64" t="str">
        <f t="shared" si="100"/>
        <v>18.3472873114467+16.1459010119136i</v>
      </c>
      <c r="AJ147" s="161">
        <f t="shared" si="101"/>
        <v>24.439989181161391</v>
      </c>
      <c r="AK147" s="161">
        <f t="shared" si="102"/>
        <v>27.762020186432469</v>
      </c>
      <c r="AL147" s="161">
        <f t="shared" si="103"/>
        <v>41.348284393062713</v>
      </c>
      <c r="AN147" s="64" t="str">
        <f t="shared" si="104"/>
        <v>-0.0533714333652805-0.0704622781614491i</v>
      </c>
      <c r="AO147" s="161">
        <f t="shared" si="105"/>
        <v>8.8393679316826734E-2</v>
      </c>
      <c r="AP147" s="161">
        <f t="shared" si="106"/>
        <v>-21.071575771223849</v>
      </c>
      <c r="AQ147" s="161">
        <f t="shared" si="107"/>
        <v>-127.14199516673852</v>
      </c>
      <c r="AR147" s="64">
        <f t="shared" si="108"/>
        <v>52.858004833261475</v>
      </c>
      <c r="AT147" s="135" t="str">
        <f t="shared" si="141"/>
        <v>-7893.78191615955i</v>
      </c>
      <c r="AU147" s="135" t="str">
        <f t="shared" si="142"/>
        <v>27456.1383070198-1412.92858349187i</v>
      </c>
      <c r="AV147" s="135" t="str">
        <f t="shared" si="109"/>
        <v>2035.61457149529-7203.77681442478i</v>
      </c>
      <c r="AW147" s="135" t="str">
        <f t="shared" si="143"/>
        <v>10000</v>
      </c>
      <c r="AX147" s="135" t="str">
        <f t="shared" si="144"/>
        <v>1789.92604368691-606.724926794291i</v>
      </c>
      <c r="AY147" s="135" t="str">
        <f t="shared" si="110"/>
        <v>1540.58536378534-435.332478495757i</v>
      </c>
      <c r="AZ147" s="135" t="str">
        <f t="shared" si="111"/>
        <v>2.44724058121503-3.98446827486825i</v>
      </c>
      <c r="BA147" s="182">
        <f t="shared" si="112"/>
        <v>4.6759997749975621</v>
      </c>
      <c r="BB147" s="182">
        <f t="shared" si="113"/>
        <v>13.397489631843442</v>
      </c>
      <c r="BC147" s="182">
        <f t="shared" si="114"/>
        <v>-58.441960972622923</v>
      </c>
      <c r="BE147" s="135" t="str">
        <f t="shared" si="115"/>
        <v>-0.0115485680735113+0.0123549966577065i</v>
      </c>
      <c r="BF147" s="161">
        <f t="shared" si="116"/>
        <v>1.6911988852895549E-2</v>
      </c>
      <c r="BG147" s="161">
        <f t="shared" si="117"/>
        <v>-35.436106325812858</v>
      </c>
      <c r="BH147" s="161">
        <f t="shared" si="118"/>
        <v>133.0677594675758</v>
      </c>
      <c r="BI147" s="64">
        <f t="shared" si="119"/>
        <v>-46.932240532424203</v>
      </c>
      <c r="BS147" s="64">
        <v>758577.57502918295</v>
      </c>
      <c r="BT147" s="64">
        <v>-42.146202434793402</v>
      </c>
      <c r="BU147" s="64">
        <v>-66.2566359695317</v>
      </c>
      <c r="BV147" s="186">
        <v>630957.34448019532</v>
      </c>
      <c r="BW147" s="64">
        <v>-42.427738746089283</v>
      </c>
      <c r="BX147" s="64">
        <v>-157.56076480497879</v>
      </c>
      <c r="BZ147" s="64">
        <v>758577.57502918295</v>
      </c>
      <c r="CA147" s="64">
        <v>-65.800678586504603</v>
      </c>
      <c r="CB147" s="64">
        <v>-230.48590675356701</v>
      </c>
      <c r="CC147" s="186">
        <v>630957.34448019532</v>
      </c>
      <c r="CD147" s="64">
        <v>-50.842738922149664</v>
      </c>
      <c r="CE147" s="64">
        <v>-115.53903845897622</v>
      </c>
      <c r="CG147" s="64">
        <v>758577.57502918295</v>
      </c>
      <c r="CH147" s="64">
        <v>-75.884403604408405</v>
      </c>
      <c r="CI147" s="64">
        <v>-175.53289696932001</v>
      </c>
      <c r="CJ147" s="64">
        <v>630957.34448019532</v>
      </c>
      <c r="CK147" s="64">
        <v>-68.29788365794991</v>
      </c>
      <c r="CL147" s="64">
        <v>-115.95015960239009</v>
      </c>
      <c r="CN147" s="64">
        <v>758577.57502918295</v>
      </c>
      <c r="CO147" s="64">
        <v>-45.361618178947097</v>
      </c>
      <c r="CP147" s="64">
        <v>-461.84068466529197</v>
      </c>
      <c r="CQ147" s="186">
        <v>630957.34448019532</v>
      </c>
      <c r="CR147" s="64">
        <v>-54.405877683147843</v>
      </c>
      <c r="CS147" s="64">
        <v>-127.043527518462</v>
      </c>
      <c r="CU147" s="64">
        <v>758577.57502918295</v>
      </c>
      <c r="CV147" s="64">
        <v>-52.347592145101302</v>
      </c>
      <c r="CW147" s="64">
        <v>-128.45630743699701</v>
      </c>
      <c r="CX147" s="139">
        <v>630957.34448019532</v>
      </c>
      <c r="CY147" s="64">
        <v>-52.598928508858393</v>
      </c>
      <c r="CZ147" s="64">
        <v>-114.47563999412114</v>
      </c>
    </row>
    <row r="148" spans="2:104">
      <c r="B148" s="135">
        <f t="shared" si="127"/>
        <v>5.8400000000000007</v>
      </c>
      <c r="C148" s="139">
        <f t="shared" si="92"/>
        <v>691830.9709189384</v>
      </c>
      <c r="D148" s="139">
        <f t="shared" si="93"/>
        <v>4346902.1915296614</v>
      </c>
      <c r="E148" s="32" t="str">
        <f t="shared" si="94"/>
        <v>4346902.19152966i</v>
      </c>
      <c r="F148"/>
      <c r="G148" s="153" t="str">
        <f t="shared" si="129"/>
        <v>0.04+0.0275692823946523i</v>
      </c>
      <c r="H148" s="153" t="str">
        <f t="shared" si="130"/>
        <v>1+99.6900937791874i</v>
      </c>
      <c r="I148" t="str">
        <f t="shared" si="121"/>
        <v>0.000280546548068059-0.000398429291679775i</v>
      </c>
      <c r="J148"/>
      <c r="K148" t="str">
        <f t="shared" si="122"/>
        <v>0.04+0.0275692823946523i</v>
      </c>
      <c r="L148" t="str">
        <f t="shared" si="131"/>
        <v>5.43580907071529+541.896316025364i</v>
      </c>
      <c r="M148" t="str">
        <f t="shared" si="123"/>
        <v>0.0000516108171604972-0.0000732971461095389i</v>
      </c>
      <c r="N148" s="153" t="str">
        <f t="shared" si="132"/>
        <v>0.0011+0.956318482136525i</v>
      </c>
      <c r="O148" s="135" t="str">
        <f t="shared" si="133"/>
        <v>0.000242+0.210390066070035i</v>
      </c>
      <c r="Q148" s="135" t="str">
        <f t="shared" si="134"/>
        <v>-4.34690219152966i</v>
      </c>
      <c r="R148" s="135" t="str">
        <f t="shared" si="135"/>
        <v>-7.65808147716227</v>
      </c>
      <c r="S148" s="64" t="str">
        <f t="shared" si="124"/>
        <v>-6.65808147716227-4.34690219152966i</v>
      </c>
      <c r="T148" s="135" t="str">
        <f t="shared" si="136"/>
        <v>-0.0665808147716227-0.0434690219152966i</v>
      </c>
      <c r="U148" s="64" t="str">
        <f t="shared" si="125"/>
        <v>-0.0662872039544622+0.166847747008629i</v>
      </c>
      <c r="W148" s="64" t="str">
        <f t="shared" si="126"/>
        <v>-0.00263940316486638-0.000632839783896198i</v>
      </c>
      <c r="X148" s="172">
        <f t="shared" si="95"/>
        <v>2.7142098774391877E-3</v>
      </c>
      <c r="Y148" s="188">
        <f t="shared" si="96"/>
        <v>-51.327131467427094</v>
      </c>
      <c r="Z148" s="161">
        <f t="shared" si="97"/>
        <v>-166.51693117486226</v>
      </c>
      <c r="AA148" s="161">
        <f t="shared" si="128"/>
        <v>-166.51693117486226</v>
      </c>
      <c r="AB148" s="199"/>
      <c r="AC148" s="64" t="str">
        <f t="shared" si="137"/>
        <v>-23004.888445583i</v>
      </c>
      <c r="AD148" s="64" t="str">
        <f t="shared" si="138"/>
        <v>22000-2300.4888445583i</v>
      </c>
      <c r="AE148" s="64" t="str">
        <f t="shared" si="98"/>
        <v>10355.1582071887-11093.925475946i</v>
      </c>
      <c r="AF148" s="64" t="str">
        <f t="shared" si="139"/>
        <v>10000</v>
      </c>
      <c r="AG148" s="64" t="str">
        <f t="shared" si="140"/>
        <v>-589.868934502127i</v>
      </c>
      <c r="AH148" s="64" t="str">
        <f t="shared" si="99"/>
        <v>34.6738897984202-587.823629459083i</v>
      </c>
      <c r="AI148" s="64" t="str">
        <f t="shared" si="100"/>
        <v>19.8429573167009+16.4456228151467i</v>
      </c>
      <c r="AJ148" s="161">
        <f t="shared" si="101"/>
        <v>25.772106333213966</v>
      </c>
      <c r="AK148" s="161">
        <f t="shared" si="102"/>
        <v>28.222998290699273</v>
      </c>
      <c r="AL148" s="161">
        <f t="shared" si="103"/>
        <v>39.651562313175816</v>
      </c>
      <c r="AN148" s="64" t="str">
        <f t="shared" si="104"/>
        <v>-0.041966119953633-0.0559640417266594i</v>
      </c>
      <c r="AO148" s="161">
        <f t="shared" si="105"/>
        <v>6.9950905572022354E-2</v>
      </c>
      <c r="AP148" s="161">
        <f t="shared" si="106"/>
        <v>-23.104133176727828</v>
      </c>
      <c r="AQ148" s="161">
        <f t="shared" si="107"/>
        <v>-126.86536886168643</v>
      </c>
      <c r="AR148" s="64">
        <f t="shared" si="108"/>
        <v>53.134631138313566</v>
      </c>
      <c r="AT148" s="135" t="str">
        <f t="shared" si="141"/>
        <v>-7199.21467104918i</v>
      </c>
      <c r="AU148" s="135" t="str">
        <f t="shared" si="142"/>
        <v>27456.1383070198-1288.60618338038i</v>
      </c>
      <c r="AV148" s="135" t="str">
        <f t="shared" si="109"/>
        <v>1723.02416184432-6666.55708278778i</v>
      </c>
      <c r="AW148" s="135" t="str">
        <f t="shared" si="143"/>
        <v>10000</v>
      </c>
      <c r="AX148" s="135" t="str">
        <f t="shared" si="144"/>
        <v>1789.92604368691-553.339709743815i</v>
      </c>
      <c r="AY148" s="135" t="str">
        <f t="shared" si="110"/>
        <v>1536.82468907656-397.204439850154i</v>
      </c>
      <c r="AZ148" s="135" t="str">
        <f t="shared" si="111"/>
        <v>2.10190863929387-3.79462256206006i</v>
      </c>
      <c r="BA148" s="182">
        <f t="shared" si="112"/>
        <v>4.3378773975797724</v>
      </c>
      <c r="BB148" s="182">
        <f t="shared" si="113"/>
        <v>12.745545465748776</v>
      </c>
      <c r="BC148" s="182">
        <f t="shared" si="114"/>
        <v>-61.01715494130206</v>
      </c>
      <c r="BE148" s="135" t="str">
        <f t="shared" si="115"/>
        <v>-0.00794917243695395+0.00868536739071441i</v>
      </c>
      <c r="BF148" s="161">
        <f t="shared" si="116"/>
        <v>1.1773909679631217E-2</v>
      </c>
      <c r="BG148" s="161">
        <f t="shared" si="117"/>
        <v>-38.581586001678325</v>
      </c>
      <c r="BH148" s="161">
        <f t="shared" si="118"/>
        <v>132.4659138838357</v>
      </c>
      <c r="BI148" s="64">
        <f t="shared" si="119"/>
        <v>-47.534086116164303</v>
      </c>
      <c r="BS148" s="64">
        <v>831763.77110267</v>
      </c>
      <c r="BT148" s="64">
        <v>-41.458084729395601</v>
      </c>
      <c r="BU148" s="64">
        <v>-13.5868763343744</v>
      </c>
      <c r="BV148" s="186">
        <v>691830.9709189384</v>
      </c>
      <c r="BW148" s="64">
        <v>-41.988561438723416</v>
      </c>
      <c r="BX148" s="64">
        <v>-162.79614669134838</v>
      </c>
      <c r="BZ148" s="64">
        <v>831763.77110267</v>
      </c>
      <c r="CA148" s="64">
        <v>-71.210417515960202</v>
      </c>
      <c r="CB148" s="64">
        <v>-267.19888355457499</v>
      </c>
      <c r="CC148" s="186">
        <v>691830.9709189384</v>
      </c>
      <c r="CD148" s="64">
        <v>-52.20938875210382</v>
      </c>
      <c r="CE148" s="64">
        <v>-102.95538316596105</v>
      </c>
      <c r="CG148" s="64">
        <v>831763.77110267</v>
      </c>
      <c r="CH148" s="64">
        <v>-78.309021755241702</v>
      </c>
      <c r="CI148" s="64">
        <v>-329.60871974549002</v>
      </c>
      <c r="CJ148" s="64">
        <v>691830.9709189384</v>
      </c>
      <c r="CK148" s="64">
        <v>-69.609271765940989</v>
      </c>
      <c r="CL148" s="64">
        <v>-101.73611619742503</v>
      </c>
      <c r="CN148" s="64">
        <v>831763.77110267</v>
      </c>
      <c r="CO148" s="64">
        <v>-53.722867493939397</v>
      </c>
      <c r="CP148" s="64">
        <v>-496.269700448408</v>
      </c>
      <c r="CQ148" s="186">
        <v>691830.9709189384</v>
      </c>
      <c r="CR148" s="64">
        <v>-55.863545332720349</v>
      </c>
      <c r="CS148" s="64">
        <v>-115.04151833231475</v>
      </c>
      <c r="CU148" s="64">
        <v>831763.77110267</v>
      </c>
      <c r="CV148" s="64">
        <v>-54.876833594018898</v>
      </c>
      <c r="CW148" s="64">
        <v>-145.56665499496901</v>
      </c>
      <c r="CX148" s="139">
        <v>691830.9709189384</v>
      </c>
      <c r="CY148" s="64">
        <v>-53.930178045481782</v>
      </c>
      <c r="CZ148" s="64">
        <v>-101.65182195853411</v>
      </c>
    </row>
    <row r="149" spans="2:104">
      <c r="B149" s="135">
        <f t="shared" si="127"/>
        <v>5.8800000000000008</v>
      </c>
      <c r="C149" s="139">
        <f t="shared" si="92"/>
        <v>758577.57502918562</v>
      </c>
      <c r="D149" s="139">
        <f t="shared" si="93"/>
        <v>4766283.4737792993</v>
      </c>
      <c r="E149" s="32" t="str">
        <f t="shared" si="94"/>
        <v>4766283.4737793i</v>
      </c>
      <c r="F149"/>
      <c r="G149" s="153" t="str">
        <f t="shared" si="129"/>
        <v>0.04+0.0351152797092122i</v>
      </c>
      <c r="H149" s="153" t="str">
        <f t="shared" si="130"/>
        <v>1+132.911885298969i</v>
      </c>
      <c r="I149" t="str">
        <f t="shared" si="121"/>
        <v>0.000266448904784338-0.000298946561519611i</v>
      </c>
      <c r="J149"/>
      <c r="K149" t="str">
        <f t="shared" si="122"/>
        <v>0.04+0.0351152797092122i</v>
      </c>
      <c r="L149" t="str">
        <f t="shared" si="131"/>
        <v>5.43580907071529+722.483631714005i</v>
      </c>
      <c r="M149" t="str">
        <f t="shared" si="123"/>
        <v>0.0000490173406236427-0.0000549957803209363i</v>
      </c>
      <c r="N149" s="153" t="str">
        <f t="shared" si="132"/>
        <v>0.0011+1.04858236423145i</v>
      </c>
      <c r="O149" s="135" t="str">
        <f t="shared" si="133"/>
        <v>0.000242+0.230688120130919i</v>
      </c>
      <c r="Q149" s="135" t="str">
        <f t="shared" si="134"/>
        <v>-4.7662834737793i</v>
      </c>
      <c r="R149" s="135" t="str">
        <f t="shared" si="135"/>
        <v>-9.20703899739457</v>
      </c>
      <c r="S149" s="64" t="str">
        <f t="shared" si="124"/>
        <v>-8.20703899739457-4.7662834737793i</v>
      </c>
      <c r="T149" s="135" t="str">
        <f t="shared" si="136"/>
        <v>-0.0820703899739457-0.047662834737793i</v>
      </c>
      <c r="U149" s="64" t="str">
        <f t="shared" si="125"/>
        <v>-0.0817793726333221+0.182970289612805i</v>
      </c>
      <c r="W149" s="64" t="str">
        <f t="shared" si="126"/>
        <v>-0.00190430655708826-0.000605103208168014i</v>
      </c>
      <c r="X149" s="172">
        <f t="shared" si="95"/>
        <v>1.9981324670563174E-3</v>
      </c>
      <c r="Y149" s="188">
        <f t="shared" si="96"/>
        <v>-53.987514468301114</v>
      </c>
      <c r="Z149" s="161">
        <f t="shared" si="97"/>
        <v>-162.37207760048625</v>
      </c>
      <c r="AA149" s="161">
        <f t="shared" si="128"/>
        <v>-162.37207760048625</v>
      </c>
      <c r="AB149" s="199"/>
      <c r="AC149" s="64" t="str">
        <f t="shared" si="137"/>
        <v>-20980.7076205452i</v>
      </c>
      <c r="AD149" s="64" t="str">
        <f t="shared" si="138"/>
        <v>22000-2098.07076205452i</v>
      </c>
      <c r="AE149" s="64" t="str">
        <f t="shared" si="98"/>
        <v>9525.7683905442-10987.8395473932i</v>
      </c>
      <c r="AF149" s="64" t="str">
        <f t="shared" si="139"/>
        <v>10000</v>
      </c>
      <c r="AG149" s="64" t="str">
        <f t="shared" si="140"/>
        <v>-537.966862065262i</v>
      </c>
      <c r="AH149" s="64" t="str">
        <f t="shared" si="99"/>
        <v>28.8573189788586-536.414433931395i</v>
      </c>
      <c r="AI149" s="64" t="str">
        <f t="shared" si="100"/>
        <v>21.3773284774931+16.6081959026717i</v>
      </c>
      <c r="AJ149" s="161">
        <f t="shared" si="101"/>
        <v>27.07069160505802</v>
      </c>
      <c r="AK149" s="161">
        <f t="shared" si="102"/>
        <v>28.649987026325164</v>
      </c>
      <c r="AL149" s="161">
        <f t="shared" si="103"/>
        <v>37.843883654990336</v>
      </c>
      <c r="AN149" s="64" t="str">
        <f t="shared" si="104"/>
        <v>-0.0306593141701302-0.0445625864026566i</v>
      </c>
      <c r="AO149" s="161">
        <f t="shared" si="105"/>
        <v>5.4090827801735304E-2</v>
      </c>
      <c r="AP149" s="161">
        <f t="shared" si="106"/>
        <v>-25.337527441975951</v>
      </c>
      <c r="AQ149" s="161">
        <f t="shared" si="107"/>
        <v>-124.52819394549593</v>
      </c>
      <c r="AR149" s="64">
        <f t="shared" si="108"/>
        <v>55.471806054504071</v>
      </c>
      <c r="AT149" s="135" t="str">
        <f t="shared" si="141"/>
        <v>-6565.76181484694i</v>
      </c>
      <c r="AU149" s="135" t="str">
        <f t="shared" si="142"/>
        <v>27456.1383070198-1175.22280690396i</v>
      </c>
      <c r="AV149" s="135" t="str">
        <f t="shared" si="109"/>
        <v>1454.49454331112-6155.68157099439i</v>
      </c>
      <c r="AW149" s="135" t="str">
        <f t="shared" si="143"/>
        <v>10000</v>
      </c>
      <c r="AX149" s="135" t="str">
        <f t="shared" si="144"/>
        <v>1789.92604368691-504.651813132412i</v>
      </c>
      <c r="AY149" s="135" t="str">
        <f t="shared" si="110"/>
        <v>1533.69414797049-362.388753154905i</v>
      </c>
      <c r="AZ149" s="135" t="str">
        <f t="shared" si="111"/>
        <v>1.79642507241816-3.58916237383366i</v>
      </c>
      <c r="BA149" s="182">
        <f t="shared" si="112"/>
        <v>4.0136304745897906</v>
      </c>
      <c r="BB149" s="182">
        <f t="shared" si="113"/>
        <v>12.070747710642751</v>
      </c>
      <c r="BC149" s="182">
        <f t="shared" si="114"/>
        <v>-63.411405692850742</v>
      </c>
      <c r="BE149" s="135" t="str">
        <f t="shared" si="115"/>
        <v>-0.00559275771176633+0.00574784286839222i</v>
      </c>
      <c r="BF149" s="161">
        <f t="shared" si="116"/>
        <v>8.0197653620445192E-3</v>
      </c>
      <c r="BG149" s="161">
        <f t="shared" si="117"/>
        <v>-41.916766757658351</v>
      </c>
      <c r="BH149" s="161">
        <f t="shared" si="118"/>
        <v>134.21651670666301</v>
      </c>
      <c r="BI149" s="64">
        <f t="shared" si="119"/>
        <v>-45.783483293336985</v>
      </c>
      <c r="BS149" s="64">
        <v>912010.83935590903</v>
      </c>
      <c r="BT149" s="64">
        <v>-40.529175508308597</v>
      </c>
      <c r="BU149" s="64">
        <v>-38.0301823242702</v>
      </c>
      <c r="BV149" s="186">
        <v>758577.57502918562</v>
      </c>
      <c r="BW149" s="64">
        <v>-41.6827774903809</v>
      </c>
      <c r="BX149" s="64">
        <v>-167.04441402872379</v>
      </c>
      <c r="BZ149" s="64">
        <v>912010.83935590903</v>
      </c>
      <c r="CA149" s="64">
        <v>-55.502341088532297</v>
      </c>
      <c r="CB149" s="64">
        <v>-344.37680174183902</v>
      </c>
      <c r="CC149" s="186">
        <v>758577.57502918562</v>
      </c>
      <c r="CD149" s="64">
        <v>-52.967911920587028</v>
      </c>
      <c r="CE149" s="64">
        <v>-113.01360351791797</v>
      </c>
      <c r="CG149" s="64">
        <v>912010.83935590903</v>
      </c>
      <c r="CH149" s="64">
        <v>-69.888446083752896</v>
      </c>
      <c r="CI149" s="64">
        <v>-365.19808213867799</v>
      </c>
      <c r="CJ149" s="64">
        <v>758577.57502918562</v>
      </c>
      <c r="CK149" s="64">
        <v>-70.30127807753081</v>
      </c>
      <c r="CL149" s="64">
        <v>-108.42389762470351</v>
      </c>
      <c r="CN149" s="64">
        <v>912010.83935590903</v>
      </c>
      <c r="CO149" s="64">
        <v>-59.5218839454487</v>
      </c>
      <c r="CP149" s="64">
        <v>-507.88283734118897</v>
      </c>
      <c r="CQ149" s="186">
        <v>758577.57502918562</v>
      </c>
      <c r="CR149" s="64">
        <v>-56.726161168369842</v>
      </c>
      <c r="CS149" s="64">
        <v>-125.70963312800666</v>
      </c>
      <c r="CU149" s="64">
        <v>912010.83935590903</v>
      </c>
      <c r="CV149" s="64">
        <v>-61.185132825409198</v>
      </c>
      <c r="CW149" s="64">
        <v>-174.71905588188301</v>
      </c>
      <c r="CX149" s="139">
        <v>758577.57502918562</v>
      </c>
      <c r="CY149" s="64">
        <v>-54.650817215572147</v>
      </c>
      <c r="CZ149" s="64">
        <v>-109.63136955353137</v>
      </c>
    </row>
    <row r="150" spans="2:104">
      <c r="B150" s="135">
        <f t="shared" si="127"/>
        <v>5.9200000000000008</v>
      </c>
      <c r="C150" s="139">
        <f t="shared" si="92"/>
        <v>831763.77110267419</v>
      </c>
      <c r="D150" s="139">
        <f t="shared" si="93"/>
        <v>5226125.9056366067</v>
      </c>
      <c r="E150" s="32" t="str">
        <f t="shared" si="94"/>
        <v>5226125.90563661i</v>
      </c>
      <c r="F150"/>
      <c r="G150" s="153" t="str">
        <f t="shared" si="129"/>
        <v>0.04+0.0502089025037956i</v>
      </c>
      <c r="H150" s="153" t="str">
        <f t="shared" si="130"/>
        <v>1+196.86140868346i</v>
      </c>
      <c r="I150" t="str">
        <f t="shared" si="121"/>
        <v>0.000256072486201516-0.00020188785491068i</v>
      </c>
      <c r="J150"/>
      <c r="K150" t="str">
        <f t="shared" si="122"/>
        <v>0.04+0.0502089025037956i</v>
      </c>
      <c r="L150" t="str">
        <f t="shared" si="131"/>
        <v>5.43580907071529+1070.10103099534i</v>
      </c>
      <c r="M150" t="str">
        <f t="shared" si="123"/>
        <v>0.0000471084401365517-0.0000371403506422484i</v>
      </c>
      <c r="N150" s="153" t="str">
        <f t="shared" si="132"/>
        <v>0.0011+1.14974769924005i</v>
      </c>
      <c r="O150" s="135" t="str">
        <f t="shared" si="133"/>
        <v>0.000242+0.252944493832811i</v>
      </c>
      <c r="Q150" s="135" t="str">
        <f t="shared" si="134"/>
        <v>-5.22612590563661i</v>
      </c>
      <c r="R150" s="135" t="str">
        <f t="shared" si="135"/>
        <v>-11.0692955347031</v>
      </c>
      <c r="S150" s="64" t="str">
        <f t="shared" si="124"/>
        <v>-10.0692955347031-5.22612590563661i</v>
      </c>
      <c r="T150" s="135" t="str">
        <f t="shared" si="136"/>
        <v>-0.100692955347031-0.0522612590563661i</v>
      </c>
      <c r="U150" s="64" t="str">
        <f t="shared" si="125"/>
        <v>-0.100403846906894+0.200646094425803i</v>
      </c>
      <c r="W150" s="64" t="str">
        <f t="shared" si="126"/>
        <v>-0.00131543408009074-0.000617992812483214i</v>
      </c>
      <c r="X150" s="172">
        <f t="shared" si="95"/>
        <v>1.453369166917024E-3</v>
      </c>
      <c r="Y150" s="188">
        <f t="shared" si="96"/>
        <v>-56.75248115118923</v>
      </c>
      <c r="Z150" s="161">
        <f t="shared" si="97"/>
        <v>-154.83579488498654</v>
      </c>
      <c r="AA150" s="161">
        <f t="shared" si="128"/>
        <v>-154.83579488498654</v>
      </c>
      <c r="AB150" s="199"/>
      <c r="AC150" s="64" t="str">
        <f t="shared" si="137"/>
        <v>-19134.6327672943i</v>
      </c>
      <c r="AD150" s="64" t="str">
        <f t="shared" si="138"/>
        <v>22000-1913.46327672943i</v>
      </c>
      <c r="AE150" s="64" t="str">
        <f t="shared" si="98"/>
        <v>8689.05888886954-10821.5352206987i</v>
      </c>
      <c r="AF150" s="64" t="str">
        <f t="shared" si="139"/>
        <v>10000</v>
      </c>
      <c r="AG150" s="64" t="str">
        <f t="shared" si="140"/>
        <v>-490.631609417803i</v>
      </c>
      <c r="AH150" s="64" t="str">
        <f t="shared" si="99"/>
        <v>24.0141309497778-489.453400246137i</v>
      </c>
      <c r="AI150" s="64" t="str">
        <f t="shared" si="100"/>
        <v>22.9252410555914+16.6277916222722i</v>
      </c>
      <c r="AJ150" s="161">
        <f t="shared" si="101"/>
        <v>28.320489608950602</v>
      </c>
      <c r="AK150" s="161">
        <f t="shared" si="102"/>
        <v>29.042015144639585</v>
      </c>
      <c r="AL150" s="161">
        <f t="shared" si="103"/>
        <v>35.95356411334204</v>
      </c>
      <c r="AN150" s="64" t="str">
        <f t="shared" si="104"/>
        <v>-0.0198807876687875-0.0360403979733847i</v>
      </c>
      <c r="AO150" s="161">
        <f t="shared" si="105"/>
        <v>4.116012638964274E-2</v>
      </c>
      <c r="AP150" s="161">
        <f t="shared" si="106"/>
        <v>-27.710466006549655</v>
      </c>
      <c r="AQ150" s="161">
        <f t="shared" si="107"/>
        <v>-118.88223077164449</v>
      </c>
      <c r="AR150" s="64">
        <f t="shared" si="108"/>
        <v>61.117769228355513</v>
      </c>
      <c r="AT150" s="135" t="str">
        <f t="shared" si="141"/>
        <v>-5988.04594376953i</v>
      </c>
      <c r="AU150" s="135" t="str">
        <f t="shared" si="142"/>
        <v>27456.1383070198-1071.81593855469i</v>
      </c>
      <c r="AV150" s="135" t="str">
        <f t="shared" si="109"/>
        <v>1224.97126934642-5673.06617951076i</v>
      </c>
      <c r="AW150" s="135" t="str">
        <f t="shared" si="143"/>
        <v>10000</v>
      </c>
      <c r="AX150" s="135" t="str">
        <f t="shared" si="144"/>
        <v>1789.92604368691-460.247923677372i</v>
      </c>
      <c r="AY150" s="135" t="str">
        <f t="shared" si="110"/>
        <v>1531.08851244131-330.60418814446i</v>
      </c>
      <c r="AZ150" s="135" t="str">
        <f t="shared" si="111"/>
        <v>1.52884908698258-3.37512967168289i</v>
      </c>
      <c r="BA150" s="182">
        <f t="shared" si="112"/>
        <v>3.7052503061792903</v>
      </c>
      <c r="BB150" s="182">
        <f t="shared" si="113"/>
        <v>11.376351036701335</v>
      </c>
      <c r="BC150" s="182">
        <f t="shared" si="114"/>
        <v>-65.630666021488466</v>
      </c>
      <c r="BE150" s="135" t="str">
        <f t="shared" si="115"/>
        <v>-0.00409690607063135+0.00349494284773039i</v>
      </c>
      <c r="BF150" s="161">
        <f t="shared" si="116"/>
        <v>5.3850965507108422E-3</v>
      </c>
      <c r="BG150" s="161">
        <f t="shared" si="117"/>
        <v>-45.3761301144879</v>
      </c>
      <c r="BH150" s="161">
        <f t="shared" si="118"/>
        <v>139.53353909352492</v>
      </c>
      <c r="BI150" s="64">
        <f t="shared" si="119"/>
        <v>-40.466460906475078</v>
      </c>
      <c r="BS150" s="64">
        <v>1000000</v>
      </c>
      <c r="BT150" s="64">
        <v>-40.541420875945001</v>
      </c>
      <c r="BU150" s="64">
        <v>-45.392968037907004</v>
      </c>
      <c r="BV150" s="186">
        <v>831763.77110267419</v>
      </c>
      <c r="BW150" s="64">
        <v>-41.497226427795731</v>
      </c>
      <c r="BX150" s="64">
        <v>-170.68514455800164</v>
      </c>
      <c r="BZ150" s="64">
        <v>1000000</v>
      </c>
      <c r="CA150" s="64">
        <v>-51.312324782576603</v>
      </c>
      <c r="CB150" s="64">
        <v>-364.70012368651999</v>
      </c>
      <c r="CC150" s="186">
        <v>831763.77110267419</v>
      </c>
      <c r="CD150" s="64">
        <v>-53.163766639296874</v>
      </c>
      <c r="CE150" s="64">
        <v>-128.62571163291119</v>
      </c>
      <c r="CG150" s="64">
        <v>1000000</v>
      </c>
      <c r="CH150" s="64">
        <v>-51.550396902659102</v>
      </c>
      <c r="CI150" s="64">
        <v>-414.57105194387202</v>
      </c>
      <c r="CJ150" s="64">
        <v>831763.77110267419</v>
      </c>
      <c r="CK150" s="64">
        <v>-70.418585092911897</v>
      </c>
      <c r="CL150" s="64">
        <v>-123.4795985930561</v>
      </c>
      <c r="CN150" s="64">
        <v>1000000</v>
      </c>
      <c r="CO150" s="64">
        <v>-168.51210738536301</v>
      </c>
      <c r="CP150" s="64">
        <v>-372.29500802030202</v>
      </c>
      <c r="CQ150" s="186">
        <v>831763.77110267419</v>
      </c>
      <c r="CR150" s="64">
        <v>-57.039833478068054</v>
      </c>
      <c r="CS150" s="64">
        <v>-141.9479185217248</v>
      </c>
      <c r="CU150" s="64">
        <v>1000000</v>
      </c>
      <c r="CV150" s="64">
        <v>-153.45935767032501</v>
      </c>
      <c r="CW150" s="64">
        <v>-51.734757844042001</v>
      </c>
      <c r="CX150" s="139">
        <v>831763.77110267419</v>
      </c>
      <c r="CY150" s="64">
        <v>-54.806822332749803</v>
      </c>
      <c r="CZ150" s="64">
        <v>-125.93069338031563</v>
      </c>
    </row>
    <row r="151" spans="2:104">
      <c r="B151" s="135">
        <f t="shared" si="127"/>
        <v>5.9600000000000009</v>
      </c>
      <c r="C151" s="139">
        <f t="shared" si="92"/>
        <v>912010.83935591287</v>
      </c>
      <c r="D151" s="139">
        <f t="shared" si="93"/>
        <v>5730333.1058295937</v>
      </c>
      <c r="E151" s="32" t="str">
        <f t="shared" si="94"/>
        <v>5730333.10582959i</v>
      </c>
      <c r="F151"/>
      <c r="G151" s="153" t="str">
        <f t="shared" si="129"/>
        <v>0.04+0.0924876076551448i</v>
      </c>
      <c r="H151" s="153" t="str">
        <f t="shared" si="130"/>
        <v>1+372.182421123855i</v>
      </c>
      <c r="I151" t="str">
        <f t="shared" si="121"/>
        <v>0.000248787713019242-0.000106805722223383i</v>
      </c>
      <c r="J151"/>
      <c r="K151" t="str">
        <f t="shared" si="122"/>
        <v>0.04+0.0924876076551448i</v>
      </c>
      <c r="L151" t="str">
        <f t="shared" si="131"/>
        <v>5.43580907071529+2023.11258070583i</v>
      </c>
      <c r="M151" t="str">
        <f t="shared" si="123"/>
        <v>0.0000457682949829038-0.0000196485418884164i</v>
      </c>
      <c r="N151" s="153" t="str">
        <f t="shared" si="132"/>
        <v>0.0011+1.26067328328251i</v>
      </c>
      <c r="O151" s="135" t="str">
        <f t="shared" si="133"/>
        <v>0.000242+0.277348122322152i</v>
      </c>
      <c r="Q151" s="135" t="str">
        <f t="shared" si="134"/>
        <v>-5.73033310582959i</v>
      </c>
      <c r="R151" s="135" t="str">
        <f t="shared" si="135"/>
        <v>-13.3082203376428</v>
      </c>
      <c r="S151" s="64" t="str">
        <f t="shared" si="124"/>
        <v>-12.3082203376428-5.73033310582959i</v>
      </c>
      <c r="T151" s="135" t="str">
        <f t="shared" si="136"/>
        <v>-0.123082203376428-0.0573033310582959i</v>
      </c>
      <c r="U151" s="64" t="str">
        <f t="shared" si="125"/>
        <v>-0.122794435081445+0.220025142721968i</v>
      </c>
      <c r="W151" s="64" t="str">
        <f t="shared" si="126"/>
        <v>-0.000851316512076998-0.000655610450054436i</v>
      </c>
      <c r="X151" s="172">
        <f t="shared" si="95"/>
        <v>1.0745068012607112E-3</v>
      </c>
      <c r="Y151" s="188">
        <f t="shared" si="96"/>
        <v>-59.375816624564791</v>
      </c>
      <c r="Z151" s="161">
        <f t="shared" si="97"/>
        <v>-142.39964183776482</v>
      </c>
      <c r="AA151" s="161">
        <f t="shared" si="128"/>
        <v>-142.39964183776482</v>
      </c>
      <c r="AB151" s="199"/>
      <c r="AC151" s="64" t="str">
        <f t="shared" si="137"/>
        <v>-17450.9924908672i</v>
      </c>
      <c r="AD151" s="64" t="str">
        <f t="shared" si="138"/>
        <v>22000-1745.09924908672i</v>
      </c>
      <c r="AE151" s="64" t="str">
        <f t="shared" si="98"/>
        <v>7859.11569957011-10593.5240379645i</v>
      </c>
      <c r="AF151" s="64" t="str">
        <f t="shared" si="139"/>
        <v>10000</v>
      </c>
      <c r="AG151" s="64" t="str">
        <f t="shared" si="140"/>
        <v>-447.461345919672i</v>
      </c>
      <c r="AH151" s="64" t="str">
        <f t="shared" si="99"/>
        <v>19.982157003549-446.567221632953i</v>
      </c>
      <c r="AI151" s="64" t="str">
        <f t="shared" si="100"/>
        <v>24.4606359557954+16.5044344377623i</v>
      </c>
      <c r="AJ151" s="161">
        <f t="shared" si="101"/>
        <v>29.507949225121436</v>
      </c>
      <c r="AK151" s="161">
        <f t="shared" si="102"/>
        <v>29.398780549767402</v>
      </c>
      <c r="AL151" s="161">
        <f t="shared" si="103"/>
        <v>34.008897330336097</v>
      </c>
      <c r="AN151" s="64" t="str">
        <f t="shared" si="104"/>
        <v>-0.0100032635954377-0.030087146106956i</v>
      </c>
      <c r="AO151" s="161">
        <f t="shared" si="105"/>
        <v>3.1706492133648699E-2</v>
      </c>
      <c r="AP151" s="161">
        <f t="shared" si="106"/>
        <v>-29.97703607479739</v>
      </c>
      <c r="AQ151" s="161">
        <f t="shared" si="107"/>
        <v>-108.39074450742878</v>
      </c>
      <c r="AR151" s="64">
        <f t="shared" si="108"/>
        <v>71.609255492571222</v>
      </c>
      <c r="AT151" s="135" t="str">
        <f t="shared" si="141"/>
        <v>-5461.162807279i</v>
      </c>
      <c r="AU151" s="135" t="str">
        <f t="shared" si="142"/>
        <v>27456.1383070198-977.507753756301i</v>
      </c>
      <c r="AV151" s="135" t="str">
        <f t="shared" si="109"/>
        <v>1029.62931329957-5219.70700332766i</v>
      </c>
      <c r="AW151" s="135" t="str">
        <f t="shared" si="143"/>
        <v>10000</v>
      </c>
      <c r="AX151" s="135" t="str">
        <f t="shared" si="144"/>
        <v>1789.92604368691-419.751095184815i</v>
      </c>
      <c r="AY151" s="135" t="str">
        <f t="shared" si="110"/>
        <v>1528.92001708692-301.591807026636i</v>
      </c>
      <c r="AZ151" s="135" t="str">
        <f t="shared" si="111"/>
        <v>1.29642646898874-3.15825245788097i</v>
      </c>
      <c r="BA151" s="182">
        <f t="shared" si="112"/>
        <v>3.4139830370413091</v>
      </c>
      <c r="BB151" s="182">
        <f t="shared" si="113"/>
        <v>10.665227178353101</v>
      </c>
      <c r="BC151" s="182">
        <f t="shared" si="114"/>
        <v>-67.682411420581985</v>
      </c>
      <c r="BE151" s="135" t="str">
        <f t="shared" si="115"/>
        <v>-0.00317425257504066+0.00183872172590564i</v>
      </c>
      <c r="BF151" s="161">
        <f t="shared" si="116"/>
        <v>3.6683479926895805E-3</v>
      </c>
      <c r="BG151" s="161">
        <f t="shared" si="117"/>
        <v>-48.710589446211699</v>
      </c>
      <c r="BH151" s="161">
        <f t="shared" si="118"/>
        <v>149.91794674165317</v>
      </c>
      <c r="BI151" s="64">
        <f t="shared" si="119"/>
        <v>-30.082053258346832</v>
      </c>
      <c r="BV151" s="186">
        <v>912010.83935591287</v>
      </c>
      <c r="BW151" s="64">
        <v>-41.416800880016147</v>
      </c>
      <c r="BX151" s="64">
        <v>-173.96551632007453</v>
      </c>
      <c r="CC151" s="186">
        <v>912010.83935591287</v>
      </c>
      <c r="CD151" s="64">
        <v>-53.006330883590053</v>
      </c>
      <c r="CE151" s="64">
        <v>-141.87684937115631</v>
      </c>
      <c r="CJ151" s="64">
        <v>912010.83935591287</v>
      </c>
      <c r="CK151" s="64">
        <v>-70.17050969115077</v>
      </c>
      <c r="CL151" s="64">
        <v>-136.10320026502524</v>
      </c>
      <c r="CQ151" s="186">
        <v>912010.83935591287</v>
      </c>
      <c r="CR151" s="64">
        <v>-57.014701603244127</v>
      </c>
      <c r="CS151" s="64">
        <v>-155.82797596017409</v>
      </c>
      <c r="CX151" s="139">
        <v>912010.83935591287</v>
      </c>
      <c r="CY151" s="64">
        <v>-54.608709207092971</v>
      </c>
      <c r="CZ151" s="64">
        <v>-139.78921086708345</v>
      </c>
    </row>
    <row r="152" spans="2:104">
      <c r="B152" s="135">
        <f t="shared" si="127"/>
        <v>6.0000000000000009</v>
      </c>
      <c r="C152" s="139">
        <f t="shared" si="92"/>
        <v>1000000.000000003</v>
      </c>
      <c r="D152" s="139">
        <f t="shared" si="93"/>
        <v>6283185.3071796056</v>
      </c>
      <c r="E152" s="32" t="str">
        <f t="shared" si="94"/>
        <v>6283185.30717961i</v>
      </c>
      <c r="F152"/>
      <c r="G152" s="153" t="str">
        <f t="shared" si="129"/>
        <v>0.04+0.738083832534768i</v>
      </c>
      <c r="H152" s="153" t="str">
        <f t="shared" si="130"/>
        <v>1+3024.58309352165i</v>
      </c>
      <c r="I152" t="str">
        <f t="shared" si="121"/>
        <v>0.000244032633256397-0.0000131442800999241i</v>
      </c>
      <c r="J152"/>
      <c r="K152" t="str">
        <f t="shared" si="122"/>
        <v>0.04+0.738083832534768i</v>
      </c>
      <c r="L152" t="str">
        <f t="shared" si="131"/>
        <v>5.43580907071529+16441.0562148971i</v>
      </c>
      <c r="M152" t="str">
        <f t="shared" si="123"/>
        <v>0.0000448935255233836-2.41809083595986E-06i</v>
      </c>
      <c r="N152" s="153" t="str">
        <f t="shared" si="132"/>
        <v>0.0011+1.38230076757951i</v>
      </c>
      <c r="O152" s="135" t="str">
        <f t="shared" si="133"/>
        <v>0.000242+0.304106168867492i</v>
      </c>
      <c r="Q152" s="135" t="str">
        <f t="shared" si="134"/>
        <v>-6.28318530717961i</v>
      </c>
      <c r="R152" s="135" t="str">
        <f t="shared" si="135"/>
        <v>-16.0000000000001</v>
      </c>
      <c r="S152" s="64" t="str">
        <f t="shared" si="124"/>
        <v>-15.0000000000001-6.28318530717961i</v>
      </c>
      <c r="T152" s="135" t="str">
        <f t="shared" si="136"/>
        <v>-0.150000000000001-0.0628318530717961i</v>
      </c>
      <c r="U152" s="64" t="str">
        <f t="shared" si="125"/>
        <v>-0.149713106474478+0.24127189770486i</v>
      </c>
      <c r="W152" s="64" t="str">
        <f t="shared" si="126"/>
        <v>-0.000492473378920072-0.000705854745050401i</v>
      </c>
      <c r="X152" s="172">
        <f t="shared" si="95"/>
        <v>8.6067470629449746E-4</v>
      </c>
      <c r="Y152" s="188">
        <f t="shared" si="96"/>
        <v>-61.303219199851149</v>
      </c>
      <c r="Z152" s="161">
        <f t="shared" si="97"/>
        <v>-124.90340082823974</v>
      </c>
      <c r="AA152" s="161">
        <f t="shared" si="128"/>
        <v>-124.90340082823974</v>
      </c>
      <c r="AB152" s="199"/>
      <c r="AC152" s="64" t="str">
        <f t="shared" si="137"/>
        <v>-15915.4943091895i</v>
      </c>
      <c r="AD152" s="64" t="str">
        <f t="shared" si="138"/>
        <v>22000-1591.54943091895i</v>
      </c>
      <c r="AE152" s="64" t="str">
        <f t="shared" si="98"/>
        <v>7049.57521343909-10305.6205996049i</v>
      </c>
      <c r="AF152" s="64" t="str">
        <f t="shared" si="139"/>
        <v>10000</v>
      </c>
      <c r="AG152" s="64" t="str">
        <f t="shared" si="140"/>
        <v>-408.089597671525i</v>
      </c>
      <c r="AH152" s="64" t="str">
        <f t="shared" si="99"/>
        <v>16.6260234721549-407.411106948562i</v>
      </c>
      <c r="AI152" s="64" t="str">
        <f t="shared" si="100"/>
        <v>25.9582858551379+16.2440150271854i</v>
      </c>
      <c r="AJ152" s="161">
        <f t="shared" si="101"/>
        <v>30.621897863138358</v>
      </c>
      <c r="AK152" s="161">
        <f t="shared" si="102"/>
        <v>29.720642072082232</v>
      </c>
      <c r="AL152" s="161">
        <f t="shared" si="103"/>
        <v>32.037253566234689</v>
      </c>
      <c r="AN152" s="64" t="str">
        <f t="shared" si="104"/>
        <v>-0.00131784966044404-0.0263225242118902i</v>
      </c>
      <c r="AO152" s="161">
        <f t="shared" si="105"/>
        <v>2.635549294953669E-2</v>
      </c>
      <c r="AP152" s="161">
        <f t="shared" si="106"/>
        <v>-31.582577127768928</v>
      </c>
      <c r="AQ152" s="161">
        <f t="shared" si="107"/>
        <v>-92.866147262005057</v>
      </c>
      <c r="AR152" s="64">
        <f t="shared" si="108"/>
        <v>87.133852737994943</v>
      </c>
      <c r="AT152" s="135" t="str">
        <f t="shared" si="141"/>
        <v>-4980.6396757258i</v>
      </c>
      <c r="AU152" s="135" t="str">
        <f t="shared" si="142"/>
        <v>27456.1383070198-891.497666980194i</v>
      </c>
      <c r="AV152" s="135" t="str">
        <f t="shared" si="109"/>
        <v>863.985223665263-4795.85622807928i</v>
      </c>
      <c r="AW152" s="135" t="str">
        <f t="shared" si="143"/>
        <v>10000</v>
      </c>
      <c r="AX152" s="135" t="str">
        <f t="shared" si="144"/>
        <v>1789.92604368691-382.817548640066i</v>
      </c>
      <c r="AY152" s="135" t="str">
        <f t="shared" si="110"/>
        <v>1527.11549505552-275.113589692962i</v>
      </c>
      <c r="AZ152" s="135" t="str">
        <f t="shared" si="111"/>
        <v>1.095956547865-2.94302801759289i</v>
      </c>
      <c r="BA152" s="182">
        <f t="shared" si="112"/>
        <v>3.1404672689179396</v>
      </c>
      <c r="BB152" s="182">
        <f t="shared" si="113"/>
        <v>9.9398854278003927</v>
      </c>
      <c r="BC152" s="182">
        <f t="shared" si="114"/>
        <v>-69.575132365354037</v>
      </c>
      <c r="BE152" s="135" t="str">
        <f t="shared" si="115"/>
        <v>-0.00261707971531087+0.000675776822400844i</v>
      </c>
      <c r="BF152" s="161">
        <f t="shared" si="116"/>
        <v>2.7029207443034298E-3</v>
      </c>
      <c r="BG152" s="161">
        <f t="shared" si="117"/>
        <v>-51.363333772050765</v>
      </c>
      <c r="BH152" s="161">
        <f t="shared" si="118"/>
        <v>165.52146680640624</v>
      </c>
      <c r="BI152" s="64">
        <f t="shared" si="119"/>
        <v>-14.478533193593762</v>
      </c>
      <c r="BV152" s="186">
        <v>1000000.000000003</v>
      </c>
      <c r="BW152" s="64">
        <v>-41.427609467614843</v>
      </c>
      <c r="BX152" s="64">
        <v>-177.04975374487907</v>
      </c>
      <c r="CC152" s="186">
        <v>1000000.000000003</v>
      </c>
      <c r="CD152" s="64">
        <v>-52.704224020400723</v>
      </c>
      <c r="CE152" s="64">
        <v>-152.71537898791996</v>
      </c>
      <c r="CJ152" s="64">
        <v>1000000.000000003</v>
      </c>
      <c r="CK152" s="64">
        <v>-69.765774253332069</v>
      </c>
      <c r="CL152" s="64">
        <v>-146.245652795051</v>
      </c>
      <c r="CQ152" s="186">
        <v>1000000.000000003</v>
      </c>
      <c r="CR152" s="64">
        <v>-56.860004660926045</v>
      </c>
      <c r="CS152" s="64">
        <v>-167.28280095845034</v>
      </c>
      <c r="CX152" s="139">
        <v>1000000.000000003</v>
      </c>
      <c r="CY152" s="64">
        <v>-54.266158254605728</v>
      </c>
      <c r="CZ152" s="64">
        <v>-151.15921920713049</v>
      </c>
    </row>
    <row r="153" spans="2:104">
      <c r="B153" s="135">
        <f t="shared" si="127"/>
        <v>6.04</v>
      </c>
      <c r="C153" s="139">
        <f t="shared" si="92"/>
        <v>1096478.196143186</v>
      </c>
      <c r="D153" s="139">
        <f t="shared" si="93"/>
        <v>6889375.6916496428</v>
      </c>
      <c r="E153" s="32" t="str">
        <f t="shared" si="94"/>
        <v>6889375.69164964i</v>
      </c>
      <c r="F153"/>
      <c r="G153" s="153" t="str">
        <f t="shared" si="129"/>
        <v>0.04+0.120239639395424i</v>
      </c>
      <c r="H153" s="153" t="str">
        <f t="shared" si="130"/>
        <v>1+498.582740112866i</v>
      </c>
      <c r="I153" t="str">
        <f t="shared" si="121"/>
        <v>0.000241322799816133-0.0000797433886122563i</v>
      </c>
      <c r="J153"/>
      <c r="K153" t="str">
        <f t="shared" si="122"/>
        <v>0.04+0.120239639395424i</v>
      </c>
      <c r="L153" t="str">
        <f t="shared" si="131"/>
        <v>5.43580907071529+2710.2005812076i</v>
      </c>
      <c r="M153" t="str">
        <f t="shared" si="123"/>
        <v>0.000044395010324448-0.0000146700127938384i</v>
      </c>
      <c r="N153" s="153" t="str">
        <f t="shared" si="132"/>
        <v>0.0011+1.51566265216292i</v>
      </c>
      <c r="O153" s="135" t="str">
        <f t="shared" si="133"/>
        <v>0.000242+0.333445783475842i</v>
      </c>
      <c r="Q153" s="135" t="str">
        <f t="shared" si="134"/>
        <v>-6.88937569164964i</v>
      </c>
      <c r="R153" s="135" t="str">
        <f t="shared" si="135"/>
        <v>-19.2362309538786</v>
      </c>
      <c r="S153" s="64" t="str">
        <f t="shared" si="124"/>
        <v>-18.2362309538786-6.88937569164964i</v>
      </c>
      <c r="T153" s="135" t="str">
        <f t="shared" si="136"/>
        <v>-0.182362309538786-0.0688937569164964i</v>
      </c>
      <c r="U153" s="64" t="str">
        <f t="shared" si="125"/>
        <v>-0.182075914528462+0.264537356546552i</v>
      </c>
      <c r="W153" s="64" t="str">
        <f t="shared" si="126"/>
        <v>-0.000630593747427177-0.000478219288984003i</v>
      </c>
      <c r="X153" s="172">
        <f t="shared" si="95"/>
        <v>7.9141781800172765E-4</v>
      </c>
      <c r="Y153" s="188">
        <f t="shared" si="96"/>
        <v>-62.031883524848936</v>
      </c>
      <c r="Z153" s="161">
        <f t="shared" si="97"/>
        <v>-142.82464738069663</v>
      </c>
      <c r="AA153" s="161">
        <f t="shared" si="128"/>
        <v>-142.82464738069663</v>
      </c>
      <c r="AB153" s="199"/>
      <c r="AC153" s="64" t="str">
        <f t="shared" si="137"/>
        <v>-14515.1033236881i</v>
      </c>
      <c r="AD153" s="64" t="str">
        <f t="shared" si="138"/>
        <v>22000-1451.51033236881i</v>
      </c>
      <c r="AE153" s="64" t="str">
        <f t="shared" si="98"/>
        <v>6272.75070517988-9962.62209321692i</v>
      </c>
      <c r="AF153" s="64" t="str">
        <f t="shared" si="139"/>
        <v>10000</v>
      </c>
      <c r="AG153" s="64" t="str">
        <f t="shared" si="140"/>
        <v>-372.182136504824i</v>
      </c>
      <c r="AH153" s="64" t="str">
        <f t="shared" si="99"/>
        <v>13.8327931515088-371.667304653928i</v>
      </c>
      <c r="AI153" s="64" t="str">
        <f t="shared" si="100"/>
        <v>27.3954111954171+15.8577189196156i</v>
      </c>
      <c r="AJ153" s="161">
        <f t="shared" si="101"/>
        <v>31.654001388442492</v>
      </c>
      <c r="AK153" s="161">
        <f t="shared" si="102"/>
        <v>30.008572341461971</v>
      </c>
      <c r="AL153" s="161">
        <f t="shared" si="103"/>
        <v>30.064224414058785</v>
      </c>
      <c r="AN153" s="64" t="str">
        <f t="shared" si="104"/>
        <v>-0.00969190794137977-0.023100792462464i</v>
      </c>
      <c r="AO153" s="161">
        <f t="shared" si="105"/>
        <v>2.505154070986481E-2</v>
      </c>
      <c r="AP153" s="161">
        <f t="shared" si="106"/>
        <v>-32.023311183386966</v>
      </c>
      <c r="AQ153" s="161">
        <f t="shared" si="107"/>
        <v>-112.76042296663786</v>
      </c>
      <c r="AR153" s="64">
        <f t="shared" si="108"/>
        <v>67.239577033362139</v>
      </c>
      <c r="AT153" s="135" t="str">
        <f t="shared" si="141"/>
        <v>-4542.39737118805i</v>
      </c>
      <c r="AU153" s="135" t="str">
        <f t="shared" si="142"/>
        <v>27456.1383070198-813.055535546444i</v>
      </c>
      <c r="AV153" s="135" t="str">
        <f t="shared" si="109"/>
        <v>723.959097004922-4401.18563896783i</v>
      </c>
      <c r="AW153" s="135" t="str">
        <f t="shared" si="143"/>
        <v>10000</v>
      </c>
      <c r="AX153" s="135" t="str">
        <f t="shared" si="144"/>
        <v>1789.92604368691-349.133753855399i</v>
      </c>
      <c r="AY153" s="135" t="str">
        <f t="shared" si="110"/>
        <v>1525.61397322905-250.951040251059i</v>
      </c>
      <c r="AZ153" s="135" t="str">
        <f t="shared" si="111"/>
        <v>0.924069385755112-2.73286004094724i</v>
      </c>
      <c r="BA153" s="182">
        <f t="shared" si="112"/>
        <v>2.8848619088434684</v>
      </c>
      <c r="BB153" s="182">
        <f t="shared" si="113"/>
        <v>9.2025005878757735</v>
      </c>
      <c r="BC153" s="182">
        <f t="shared" si="114"/>
        <v>-71.317922641220775</v>
      </c>
      <c r="BE153" s="135" t="str">
        <f t="shared" si="115"/>
        <v>-0.00188961876252063+0.00128141664978721i</v>
      </c>
      <c r="BF153" s="161">
        <f t="shared" si="116"/>
        <v>2.2831311171331958E-3</v>
      </c>
      <c r="BG153" s="161">
        <f t="shared" si="117"/>
        <v>-52.829382936973168</v>
      </c>
      <c r="BH153" s="161">
        <f t="shared" si="118"/>
        <v>145.85742997808273</v>
      </c>
      <c r="BI153" s="64">
        <f t="shared" si="119"/>
        <v>-34.142570021917265</v>
      </c>
      <c r="BV153" s="186">
        <v>1096478.196143186</v>
      </c>
      <c r="BW153" s="64">
        <v>-41.517718664410886</v>
      </c>
      <c r="BX153" s="64">
        <v>-179.95202424727398</v>
      </c>
      <c r="CC153" s="186">
        <v>1096478.196143186</v>
      </c>
      <c r="CD153" s="64">
        <v>-52.387139913024505</v>
      </c>
      <c r="CE153" s="64">
        <v>-161.60101265459812</v>
      </c>
      <c r="CJ153" s="64">
        <v>1096478.196143186</v>
      </c>
      <c r="CK153" s="64">
        <v>-69.333960535493645</v>
      </c>
      <c r="CL153" s="64">
        <v>-154.37215721073645</v>
      </c>
      <c r="CQ153" s="186">
        <v>1096478.196143186</v>
      </c>
      <c r="CR153" s="64">
        <v>-56.705630639309099</v>
      </c>
      <c r="CS153" s="64">
        <v>-176.75502386145976</v>
      </c>
      <c r="CX153" s="139">
        <v>1096478.196143186</v>
      </c>
      <c r="CY153" s="64">
        <v>-53.909845374265885</v>
      </c>
      <c r="CZ153" s="64">
        <v>-160.50538725480166</v>
      </c>
    </row>
    <row r="154" spans="2:104">
      <c r="B154" s="135">
        <f t="shared" si="127"/>
        <v>6.08</v>
      </c>
      <c r="C154" s="139">
        <f t="shared" si="92"/>
        <v>1202264.4346174158</v>
      </c>
      <c r="D154" s="139">
        <f t="shared" si="93"/>
        <v>7554050.2309327191</v>
      </c>
      <c r="E154" s="32" t="str">
        <f t="shared" si="94"/>
        <v>7554050.23093272i</v>
      </c>
      <c r="F154"/>
      <c r="G154" s="153" t="str">
        <f t="shared" si="129"/>
        <v>0.04+0.05517923398953i</v>
      </c>
      <c r="H154" s="153" t="str">
        <f t="shared" si="130"/>
        <v>1+230.386532932106i</v>
      </c>
      <c r="I154" t="str">
        <f t="shared" si="121"/>
        <v>0.000240256284534173-0.000172578419447733i</v>
      </c>
      <c r="J154"/>
      <c r="K154" t="str">
        <f t="shared" si="122"/>
        <v>0.04+0.05517923398953i</v>
      </c>
      <c r="L154" t="str">
        <f t="shared" si="131"/>
        <v>5.43580907071529+1252.33720548299i</v>
      </c>
      <c r="M154" t="str">
        <f t="shared" si="123"/>
        <v>0.0000441988085689989-0.0000317484328832438i</v>
      </c>
      <c r="N154" s="153" t="str">
        <f t="shared" si="132"/>
        <v>0.0011+1.6618910508052i</v>
      </c>
      <c r="O154" s="135" t="str">
        <f t="shared" si="133"/>
        <v>0.000242+0.365616031177144i</v>
      </c>
      <c r="Q154" s="135" t="str">
        <f t="shared" si="134"/>
        <v>-7.55405023093272i</v>
      </c>
      <c r="R154" s="135" t="str">
        <f t="shared" si="135"/>
        <v>-23.127036331935</v>
      </c>
      <c r="S154" s="64" t="str">
        <f t="shared" si="124"/>
        <v>-22.127036331935-7.55405023093272i</v>
      </c>
      <c r="T154" s="135" t="str">
        <f t="shared" si="136"/>
        <v>-0.22127036331935-0.0755405023093272i</v>
      </c>
      <c r="U154" s="64" t="str">
        <f t="shared" si="125"/>
        <v>-0.220984164510781+0.290043780434934i</v>
      </c>
      <c r="W154" s="64" t="str">
        <f t="shared" si="126"/>
        <v>-0.000775786706087676-0.00023727351556244i</v>
      </c>
      <c r="X154" s="172">
        <f t="shared" si="95"/>
        <v>8.1126058361646381E-4</v>
      </c>
      <c r="Y154" s="188">
        <f t="shared" si="96"/>
        <v>-61.816792487930179</v>
      </c>
      <c r="Z154" s="161">
        <f t="shared" si="97"/>
        <v>-162.99380545277779</v>
      </c>
      <c r="AA154" s="161">
        <f t="shared" si="128"/>
        <v>-162.99380545277779</v>
      </c>
      <c r="AB154" s="199"/>
      <c r="AC154" s="64" t="str">
        <f t="shared" si="137"/>
        <v>-13237.9315655746i</v>
      </c>
      <c r="AD154" s="64" t="str">
        <f t="shared" si="138"/>
        <v>22000-1323.79315655746i</v>
      </c>
      <c r="AE154" s="64" t="str">
        <f t="shared" si="98"/>
        <v>5538.93613887853-9571.72868794648i</v>
      </c>
      <c r="AF154" s="64" t="str">
        <f t="shared" si="139"/>
        <v>10000</v>
      </c>
      <c r="AG154" s="64" t="str">
        <f t="shared" si="140"/>
        <v>-339.43414270704i</v>
      </c>
      <c r="AH154" s="64" t="str">
        <f t="shared" si="99"/>
        <v>11.5082943803294-339.043511903339i</v>
      </c>
      <c r="AI154" s="64" t="str">
        <f t="shared" si="100"/>
        <v>28.7529681430748+15.360973840622i</v>
      </c>
      <c r="AJ154" s="161">
        <f t="shared" si="101"/>
        <v>32.598967688700633</v>
      </c>
      <c r="AK154" s="161">
        <f t="shared" si="102"/>
        <v>30.264076949702687</v>
      </c>
      <c r="AL154" s="161">
        <f t="shared" si="103"/>
        <v>28.112897402527384</v>
      </c>
      <c r="AN154" s="64" t="str">
        <f t="shared" si="104"/>
        <v>-0.0186614181803328-0.0187391571322773i</v>
      </c>
      <c r="AO154" s="161">
        <f t="shared" si="105"/>
        <v>2.6446257552429506E-2</v>
      </c>
      <c r="AP154" s="161">
        <f t="shared" si="106"/>
        <v>-31.552715538227503</v>
      </c>
      <c r="AQ154" s="161">
        <f t="shared" si="107"/>
        <v>-134.88090805025041</v>
      </c>
      <c r="AR154" s="64">
        <f t="shared" si="108"/>
        <v>45.119091949749588</v>
      </c>
      <c r="AT154" s="135" t="str">
        <f t="shared" si="141"/>
        <v>-4142.71563918528i</v>
      </c>
      <c r="AU154" s="135" t="str">
        <f t="shared" si="142"/>
        <v>27456.1383070198-741.51546141668i</v>
      </c>
      <c r="AV154" s="135" t="str">
        <f t="shared" si="109"/>
        <v>605.899031691098-4034.93096599788i</v>
      </c>
      <c r="AW154" s="135" t="str">
        <f t="shared" si="143"/>
        <v>10000</v>
      </c>
      <c r="AX154" s="135" t="str">
        <f t="shared" si="144"/>
        <v>1789.92604368691-318.413767901142i</v>
      </c>
      <c r="AY154" s="135" t="str">
        <f t="shared" si="110"/>
        <v>1524.36465629595-228.903809501841i</v>
      </c>
      <c r="AZ154" s="135" t="str">
        <f t="shared" si="111"/>
        <v>0.777422727278054-2.53021868894722i</v>
      </c>
      <c r="BA154" s="182">
        <f t="shared" si="112"/>
        <v>2.646959144147532</v>
      </c>
      <c r="BB154" s="182">
        <f t="shared" si="113"/>
        <v>8.4549447602301004</v>
      </c>
      <c r="BC154" s="182">
        <f t="shared" si="114"/>
        <v>-72.920154787654866</v>
      </c>
      <c r="BE154" s="135" t="str">
        <f t="shared" si="115"/>
        <v>-0.00120346810030103+0.00177844819880044i</v>
      </c>
      <c r="BF154" s="161">
        <f t="shared" si="116"/>
        <v>2.1473736200900624E-3</v>
      </c>
      <c r="BG154" s="161">
        <f t="shared" si="117"/>
        <v>-53.361847727700081</v>
      </c>
      <c r="BH154" s="161">
        <f t="shared" si="118"/>
        <v>124.0860397595672</v>
      </c>
      <c r="BI154" s="64">
        <f t="shared" si="119"/>
        <v>-55.9139602404328</v>
      </c>
      <c r="BV154" s="186">
        <v>1202264.4346174158</v>
      </c>
      <c r="BW154" s="64">
        <v>-41.67712585498208</v>
      </c>
      <c r="BX154" s="64">
        <v>-176.96708534754333</v>
      </c>
      <c r="CC154" s="186">
        <v>1202264.4346174158</v>
      </c>
      <c r="CD154" s="64">
        <v>-52.116994779131154</v>
      </c>
      <c r="CE154" s="64">
        <v>-169.05078410054782</v>
      </c>
      <c r="CJ154" s="64">
        <v>1202264.4346174158</v>
      </c>
      <c r="CK154" s="64">
        <v>-68.936656585330212</v>
      </c>
      <c r="CL154" s="64">
        <v>-161.00824162885684</v>
      </c>
      <c r="CQ154" s="186">
        <v>1202264.4346174158</v>
      </c>
      <c r="CR154" s="64">
        <v>-56.613169039271433</v>
      </c>
      <c r="CS154" s="64">
        <v>-175.2565431910169</v>
      </c>
      <c r="CX154" s="139">
        <v>1202264.4346174158</v>
      </c>
      <c r="CY154" s="64">
        <v>-53.602541972466575</v>
      </c>
      <c r="CZ154" s="64">
        <v>-168.35051855223301</v>
      </c>
    </row>
    <row r="155" spans="2:104">
      <c r="B155" s="135">
        <f t="shared" si="127"/>
        <v>6.12</v>
      </c>
      <c r="C155" s="139">
        <f t="shared" si="92"/>
        <v>1318256.7385564097</v>
      </c>
      <c r="D155" s="139">
        <f t="shared" si="93"/>
        <v>8282851.3707881151</v>
      </c>
      <c r="E155" s="32" t="str">
        <f t="shared" si="94"/>
        <v>8282851.37078812i</v>
      </c>
      <c r="F155"/>
      <c r="G155" s="153" t="str">
        <f t="shared" si="129"/>
        <v>0.04+0.0356648986893972i</v>
      </c>
      <c r="H155" s="153" t="str">
        <f t="shared" si="130"/>
        <v>1+149.392506302109i</v>
      </c>
      <c r="I155" t="str">
        <f t="shared" si="121"/>
        <v>0.000240514338214168-0.000266141098010513i</v>
      </c>
      <c r="J155"/>
      <c r="K155" t="str">
        <f t="shared" si="122"/>
        <v>0.04+0.0356648986893972i</v>
      </c>
      <c r="L155" t="str">
        <f t="shared" si="131"/>
        <v>5.43580907071529+812.069140853895i</v>
      </c>
      <c r="M155" t="str">
        <f t="shared" si="123"/>
        <v>0.0000442462814799563-0.0000489607148721087i</v>
      </c>
      <c r="N155" s="153" t="str">
        <f t="shared" si="132"/>
        <v>0.0011+1.82222730157339i</v>
      </c>
      <c r="O155" s="135" t="str">
        <f t="shared" si="133"/>
        <v>0.000242+0.400890006346146i</v>
      </c>
      <c r="Q155" s="135" t="str">
        <f t="shared" si="134"/>
        <v>-8.28285137078812i</v>
      </c>
      <c r="R155" s="135" t="str">
        <f t="shared" si="135"/>
        <v>-27.8048132599901</v>
      </c>
      <c r="S155" s="64" t="str">
        <f t="shared" si="124"/>
        <v>-26.8048132599901-8.28285137078812i</v>
      </c>
      <c r="T155" s="135" t="str">
        <f t="shared" si="136"/>
        <v>-0.268048132599901-0.0828285137078812i</v>
      </c>
      <c r="U155" s="64" t="str">
        <f t="shared" si="125"/>
        <v>-0.267761886318421+0.318012531923393i</v>
      </c>
      <c r="W155" s="64" t="str">
        <f t="shared" si="126"/>
        <v>-0.000862339631938915-0.0000302272733119425i</v>
      </c>
      <c r="X155" s="172">
        <f t="shared" si="95"/>
        <v>8.6286924204332272E-4</v>
      </c>
      <c r="Y155" s="188">
        <f t="shared" si="96"/>
        <v>-61.281100233125173</v>
      </c>
      <c r="Z155" s="161">
        <f t="shared" si="97"/>
        <v>-177.99245410243694</v>
      </c>
      <c r="AA155" s="161">
        <f t="shared" si="128"/>
        <v>-177.99245410243694</v>
      </c>
      <c r="AB155" s="199"/>
      <c r="AC155" s="64" t="str">
        <f t="shared" si="137"/>
        <v>-12073.1370784557i</v>
      </c>
      <c r="AD155" s="64" t="str">
        <f t="shared" si="138"/>
        <v>22000-1207.31370784557i</v>
      </c>
      <c r="AE155" s="64" t="str">
        <f t="shared" si="98"/>
        <v>4855.96293658942-9141.80176938845i</v>
      </c>
      <c r="AF155" s="64" t="str">
        <f t="shared" si="139"/>
        <v>10000</v>
      </c>
      <c r="AG155" s="64" t="str">
        <f t="shared" si="140"/>
        <v>-309.567617396301i</v>
      </c>
      <c r="AH155" s="64" t="str">
        <f t="shared" si="99"/>
        <v>9.57403597338166-309.271236245786i</v>
      </c>
      <c r="AI155" s="64" t="str">
        <f t="shared" si="100"/>
        <v>30.0164685673094+14.7720953367333i</v>
      </c>
      <c r="AJ155" s="161">
        <f t="shared" si="101"/>
        <v>33.454494255478004</v>
      </c>
      <c r="AK155" s="161">
        <f t="shared" si="102"/>
        <v>30.489089377350179</v>
      </c>
      <c r="AL155" s="161">
        <f t="shared" si="103"/>
        <v>26.203321896824292</v>
      </c>
      <c r="AN155" s="64" t="str">
        <f t="shared" si="104"/>
        <v>-0.0254378702933061-0.0136458792548885i</v>
      </c>
      <c r="AO155" s="161">
        <f t="shared" si="105"/>
        <v>2.8866854101166985E-2</v>
      </c>
      <c r="AP155" s="161">
        <f t="shared" si="106"/>
        <v>-30.792010855775001</v>
      </c>
      <c r="AQ155" s="161">
        <f t="shared" si="107"/>
        <v>-151.78913220561276</v>
      </c>
      <c r="AR155" s="64">
        <f t="shared" si="108"/>
        <v>28.210867794387241</v>
      </c>
      <c r="AT155" s="135" t="str">
        <f t="shared" si="141"/>
        <v>-3778.20156730622i</v>
      </c>
      <c r="AU155" s="135" t="str">
        <f t="shared" si="142"/>
        <v>27456.1383070198-676.270138362011i</v>
      </c>
      <c r="AV155" s="135" t="str">
        <f t="shared" si="109"/>
        <v>506.579129565985-3696.01439392808i</v>
      </c>
      <c r="AW155" s="135" t="str">
        <f t="shared" si="143"/>
        <v>10000</v>
      </c>
      <c r="AX155" s="135" t="str">
        <f t="shared" si="144"/>
        <v>1789.92604368691-290.396807725998i</v>
      </c>
      <c r="AY155" s="135" t="str">
        <f t="shared" si="110"/>
        <v>1523.32523908581-208.788357244965i</v>
      </c>
      <c r="AZ155" s="135" t="str">
        <f t="shared" si="111"/>
        <v>0.652832569225215-2.33680271481606i</v>
      </c>
      <c r="BA155" s="182">
        <f t="shared" si="112"/>
        <v>2.4262805467243282</v>
      </c>
      <c r="BB155" s="182">
        <f t="shared" si="113"/>
        <v>7.6988203234383681</v>
      </c>
      <c r="BC155" s="182">
        <f t="shared" si="114"/>
        <v>-74.391231260049523</v>
      </c>
      <c r="BE155" s="135" t="str">
        <f t="shared" si="115"/>
        <v>-0.000633598571800242+0.00199538424451143i</v>
      </c>
      <c r="BF155" s="161">
        <f t="shared" si="116"/>
        <v>2.0935628563364789E-3</v>
      </c>
      <c r="BG155" s="161">
        <f t="shared" si="117"/>
        <v>-53.582279909686818</v>
      </c>
      <c r="BH155" s="161">
        <f t="shared" si="118"/>
        <v>107.61631463751351</v>
      </c>
      <c r="BI155" s="64">
        <f t="shared" si="119"/>
        <v>-72.383685362486489</v>
      </c>
      <c r="BV155" s="186">
        <v>1318256.7385564097</v>
      </c>
      <c r="BW155" s="64">
        <v>-41.897536441928729</v>
      </c>
      <c r="BX155" s="64">
        <v>-173.9501591751382</v>
      </c>
      <c r="CC155" s="186">
        <v>1318256.7385564097</v>
      </c>
      <c r="CD155" s="64">
        <v>-51.917556466303722</v>
      </c>
      <c r="CE155" s="64">
        <v>-175.47979916257938</v>
      </c>
      <c r="CJ155" s="64">
        <v>1318256.7385564097</v>
      </c>
      <c r="CK155" s="64">
        <v>-68.597112439566132</v>
      </c>
      <c r="CL155" s="64">
        <v>-166.58052366162718</v>
      </c>
      <c r="CQ155" s="186">
        <v>1318256.7385564097</v>
      </c>
      <c r="CR155" s="64">
        <v>-56.60546605086062</v>
      </c>
      <c r="CS155" s="64">
        <v>-168.355340705072</v>
      </c>
      <c r="CX155" s="139">
        <v>1318256.7385564097</v>
      </c>
      <c r="CY155" s="64">
        <v>-53.368707900504404</v>
      </c>
      <c r="CZ155" s="64">
        <v>-175.11602623990544</v>
      </c>
    </row>
    <row r="156" spans="2:104">
      <c r="B156" s="135">
        <f t="shared" si="127"/>
        <v>6.16</v>
      </c>
      <c r="C156" s="139">
        <f t="shared" si="92"/>
        <v>1445439.7707459298</v>
      </c>
      <c r="D156" s="139">
        <f t="shared" si="93"/>
        <v>9081965.9299638551</v>
      </c>
      <c r="E156" s="32" t="str">
        <f t="shared" si="94"/>
        <v>9081965.92996386i</v>
      </c>
      <c r="F156"/>
      <c r="G156" s="153" t="str">
        <f t="shared" si="129"/>
        <v>0.04+0.0262563749250095i</v>
      </c>
      <c r="H156" s="153" t="str">
        <f t="shared" si="130"/>
        <v>1+110.054541973342i</v>
      </c>
      <c r="I156" t="str">
        <f t="shared" si="121"/>
        <v>0.00024185856369156-0.000361258524395466i</v>
      </c>
      <c r="J156"/>
      <c r="K156" t="str">
        <f t="shared" si="122"/>
        <v>0.04+0.0262563749250095i</v>
      </c>
      <c r="L156" t="str">
        <f t="shared" si="131"/>
        <v>5.43580907071529+598.235477532109i</v>
      </c>
      <c r="M156" t="str">
        <f t="shared" si="123"/>
        <v>0.0000444935722622307-0.000066459016440018i</v>
      </c>
      <c r="N156" s="153" t="str">
        <f t="shared" si="132"/>
        <v>0.0011+1.99803250459205i</v>
      </c>
      <c r="O156" s="135" t="str">
        <f t="shared" si="133"/>
        <v>0.000242+0.439567151010251i</v>
      </c>
      <c r="Q156" s="135" t="str">
        <f t="shared" si="134"/>
        <v>-9.08196592996386i</v>
      </c>
      <c r="R156" s="135" t="str">
        <f t="shared" si="135"/>
        <v>-33.4287380936648</v>
      </c>
      <c r="S156" s="64" t="str">
        <f t="shared" si="124"/>
        <v>-32.4287380936648-9.08196592996386i</v>
      </c>
      <c r="T156" s="135" t="str">
        <f t="shared" si="136"/>
        <v>-0.324287380936648-0.0908196592996386i</v>
      </c>
      <c r="U156" s="64" t="str">
        <f t="shared" si="125"/>
        <v>-0.324000887364386+0.348681032694172i</v>
      </c>
      <c r="W156" s="64" t="str">
        <f t="shared" si="126"/>
        <v>-0.000901884093140772+0.00014440901013976i</v>
      </c>
      <c r="X156" s="172">
        <f t="shared" si="95"/>
        <v>9.1337225689742637E-4</v>
      </c>
      <c r="Y156" s="188">
        <f t="shared" si="96"/>
        <v>-60.787043678958341</v>
      </c>
      <c r="Z156" s="161">
        <f t="shared" si="97"/>
        <v>170.90306088366216</v>
      </c>
      <c r="AA156" s="161">
        <f t="shared" si="128"/>
        <v>-170.90306088366216</v>
      </c>
      <c r="AB156" s="199"/>
      <c r="AC156" s="64" t="str">
        <f t="shared" si="137"/>
        <v>-11010.8318805814i</v>
      </c>
      <c r="AD156" s="64" t="str">
        <f t="shared" si="138"/>
        <v>22000-1101.08318805814i</v>
      </c>
      <c r="AE156" s="64" t="str">
        <f t="shared" si="98"/>
        <v>4229.03379030686-8682.57287646308i</v>
      </c>
      <c r="AF156" s="64" t="str">
        <f t="shared" si="139"/>
        <v>10000</v>
      </c>
      <c r="AG156" s="64" t="str">
        <f t="shared" si="140"/>
        <v>-282.32902257901i</v>
      </c>
      <c r="AH156" s="64" t="str">
        <f t="shared" si="99"/>
        <v>7.96461912686237-282.10415826568i</v>
      </c>
      <c r="AI156" s="64" t="str">
        <f t="shared" si="100"/>
        <v>31.1762874879324+14.1108396244445i</v>
      </c>
      <c r="AJ156" s="161">
        <f t="shared" si="101"/>
        <v>34.220997887802795</v>
      </c>
      <c r="AK156" s="161">
        <f t="shared" si="102"/>
        <v>30.68585338922588</v>
      </c>
      <c r="AL156" s="161">
        <f t="shared" si="103"/>
        <v>24.352196782873932</v>
      </c>
      <c r="AN156" s="64" t="str">
        <f t="shared" si="104"/>
        <v>-0.0301551301509568-0.0082242049821821i</v>
      </c>
      <c r="AO156" s="161">
        <f t="shared" si="105"/>
        <v>3.1256510074064457E-2</v>
      </c>
      <c r="AP156" s="161">
        <f t="shared" si="106"/>
        <v>-30.101190289732472</v>
      </c>
      <c r="AQ156" s="161">
        <f t="shared" si="107"/>
        <v>-164.74474233346388</v>
      </c>
      <c r="AR156" s="64">
        <f t="shared" si="108"/>
        <v>15.255257666536124</v>
      </c>
      <c r="AT156" s="135" t="str">
        <f t="shared" si="141"/>
        <v>-3445.76078265477i</v>
      </c>
      <c r="AU156" s="135" t="str">
        <f t="shared" si="142"/>
        <v>27456.1383070198-616.765696518875i</v>
      </c>
      <c r="AV156" s="135" t="str">
        <f t="shared" si="109"/>
        <v>423.18005762951-3383.14526949142i</v>
      </c>
      <c r="AW156" s="135" t="str">
        <f t="shared" si="143"/>
        <v>10000</v>
      </c>
      <c r="AX156" s="135" t="str">
        <f t="shared" si="144"/>
        <v>1789.92604368691-264.845036360464i</v>
      </c>
      <c r="AY156" s="135" t="str">
        <f t="shared" si="110"/>
        <v>1522.46049527512-190.436670260402i</v>
      </c>
      <c r="AZ156" s="135" t="str">
        <f t="shared" si="111"/>
        <v>0.547351994987706-2.15369094192034i</v>
      </c>
      <c r="BA156" s="182">
        <f t="shared" si="112"/>
        <v>2.2221563580735593</v>
      </c>
      <c r="BB156" s="182">
        <f t="shared" si="113"/>
        <v>6.9354922807510615</v>
      </c>
      <c r="BC156" s="182">
        <f t="shared" si="114"/>
        <v>-75.740399261508074</v>
      </c>
      <c r="BE156" s="135" t="str">
        <f t="shared" si="115"/>
        <v>-0.000182635680558596+0.00202142216185352i</v>
      </c>
      <c r="BF156" s="161">
        <f t="shared" si="116"/>
        <v>2.0296559679526135E-3</v>
      </c>
      <c r="BG156" s="161">
        <f t="shared" si="117"/>
        <v>-53.851551398207278</v>
      </c>
      <c r="BH156" s="161">
        <f t="shared" si="118"/>
        <v>95.16266162215409</v>
      </c>
      <c r="BI156" s="64">
        <f t="shared" si="119"/>
        <v>-84.83733837784591</v>
      </c>
      <c r="BV156" s="186">
        <v>1445439.7707459298</v>
      </c>
      <c r="BW156" s="64">
        <v>-42.17212654235918</v>
      </c>
      <c r="BX156" s="64">
        <v>-170.87720524300317</v>
      </c>
      <c r="CC156" s="186">
        <v>1445439.7707459298</v>
      </c>
      <c r="CD156" s="64">
        <v>-51.794786973743676</v>
      </c>
      <c r="CE156" s="64">
        <v>-178.81406684950716</v>
      </c>
      <c r="CJ156" s="64">
        <v>1445439.7707459298</v>
      </c>
      <c r="CK156" s="64">
        <v>-68.320641591804446</v>
      </c>
      <c r="CL156" s="64">
        <v>-171.40133048848546</v>
      </c>
      <c r="CQ156" s="186">
        <v>1445439.7707459298</v>
      </c>
      <c r="CR156" s="64">
        <v>-56.686928813387134</v>
      </c>
      <c r="CS156" s="64">
        <v>-162.2613490203193</v>
      </c>
      <c r="CX156" s="139">
        <v>1445439.7707459298</v>
      </c>
      <c r="CY156" s="64">
        <v>-53.214812609901827</v>
      </c>
      <c r="CZ156" s="64">
        <v>-178.89367210389517</v>
      </c>
    </row>
    <row r="157" spans="2:104">
      <c r="B157" s="135">
        <f t="shared" si="127"/>
        <v>6.2</v>
      </c>
      <c r="C157" s="139">
        <f t="shared" si="92"/>
        <v>1584893.1924611153</v>
      </c>
      <c r="D157" s="139">
        <f t="shared" si="93"/>
        <v>9958177.6203206275</v>
      </c>
      <c r="E157" s="32" t="str">
        <f t="shared" si="94"/>
        <v>9958177.62032063i</v>
      </c>
      <c r="F157"/>
      <c r="G157" s="153" t="str">
        <f t="shared" si="129"/>
        <v>0.04+0.0206953527937688i</v>
      </c>
      <c r="H157" s="153" t="str">
        <f t="shared" si="130"/>
        <v>1+86.6526823067432i</v>
      </c>
      <c r="I157" t="str">
        <f t="shared" si="121"/>
        <v>0.000244125719911852-0.000458795656657871i</v>
      </c>
      <c r="J157"/>
      <c r="K157" t="str">
        <f t="shared" si="122"/>
        <v>0.04+0.0206953527937688i</v>
      </c>
      <c r="L157" t="str">
        <f t="shared" si="131"/>
        <v>5.43580907071529+471.027436484805i</v>
      </c>
      <c r="M157" t="str">
        <f t="shared" si="123"/>
        <v>0.0000449106502336602-0.0000844024598158852i</v>
      </c>
      <c r="N157" s="153" t="str">
        <f t="shared" si="132"/>
        <v>0.0011+2.19079907647054i</v>
      </c>
      <c r="O157" s="135" t="str">
        <f t="shared" si="133"/>
        <v>0.000242+0.481975796823519i</v>
      </c>
      <c r="Q157" s="135" t="str">
        <f t="shared" si="134"/>
        <v>-9.95817762032063i</v>
      </c>
      <c r="R157" s="135" t="str">
        <f t="shared" si="135"/>
        <v>-40.1901829041534</v>
      </c>
      <c r="S157" s="64" t="str">
        <f t="shared" si="124"/>
        <v>-39.1901829041534-9.95817762032063i</v>
      </c>
      <c r="T157" s="135" t="str">
        <f t="shared" si="136"/>
        <v>-0.391901829041534-0.0995817762032063i</v>
      </c>
      <c r="U157" s="64" t="str">
        <f t="shared" si="125"/>
        <v>-0.3916149183913+0.382309618160497i</v>
      </c>
      <c r="W157" s="64" t="str">
        <f t="shared" si="126"/>
        <v>-0.000904789839595657+0.000288257145642656i</v>
      </c>
      <c r="X157" s="172">
        <f t="shared" si="95"/>
        <v>9.4959824970857355E-4</v>
      </c>
      <c r="Y157" s="188">
        <f t="shared" si="96"/>
        <v>-60.449201890812539</v>
      </c>
      <c r="Z157" s="161">
        <f t="shared" si="97"/>
        <v>162.32863256247884</v>
      </c>
      <c r="AA157" s="161">
        <f t="shared" si="128"/>
        <v>-162.32863256247884</v>
      </c>
      <c r="AB157" s="199"/>
      <c r="AC157" s="64" t="str">
        <f t="shared" si="137"/>
        <v>-10041.9980254158i</v>
      </c>
      <c r="AD157" s="64" t="str">
        <f t="shared" si="138"/>
        <v>22000-1004.19980254158i</v>
      </c>
      <c r="AE157" s="64" t="str">
        <f t="shared" si="98"/>
        <v>3660.80901015724-8203.90618284465i</v>
      </c>
      <c r="AF157" s="64" t="str">
        <f t="shared" si="139"/>
        <v>10000</v>
      </c>
      <c r="AG157" s="64" t="str">
        <f t="shared" si="140"/>
        <v>-257.487128856817i</v>
      </c>
      <c r="AH157" s="64" t="str">
        <f t="shared" si="99"/>
        <v>6.62556942523977-257.316528971982i</v>
      </c>
      <c r="AI157" s="64" t="str">
        <f t="shared" si="100"/>
        <v>32.227503331209+13.3970540610297i</v>
      </c>
      <c r="AJ157" s="161">
        <f t="shared" si="101"/>
        <v>34.901189499460322</v>
      </c>
      <c r="AK157" s="161">
        <f t="shared" si="102"/>
        <v>30.856804576002226</v>
      </c>
      <c r="AL157" s="161">
        <f t="shared" si="103"/>
        <v>22.572778695825352</v>
      </c>
      <c r="AN157" s="64" t="str">
        <f t="shared" si="104"/>
        <v>-0.0330209141332659-0.00283171027348991i</v>
      </c>
      <c r="AO157" s="161">
        <f t="shared" si="105"/>
        <v>3.314210846143479E-2</v>
      </c>
      <c r="AP157" s="161">
        <f t="shared" si="106"/>
        <v>-29.592397314810306</v>
      </c>
      <c r="AQ157" s="161">
        <f t="shared" si="107"/>
        <v>-175.09858874169578</v>
      </c>
      <c r="AR157" s="64">
        <f t="shared" si="108"/>
        <v>4.901411258304222</v>
      </c>
      <c r="AT157" s="135" t="str">
        <f t="shared" si="141"/>
        <v>-3142.57118360865i</v>
      </c>
      <c r="AU157" s="135" t="str">
        <f t="shared" si="142"/>
        <v>27456.1383070198-562.497000568112i</v>
      </c>
      <c r="AV157" s="135" t="str">
        <f t="shared" si="109"/>
        <v>353.259111444356-3094.90063795699i</v>
      </c>
      <c r="AW157" s="135" t="str">
        <f t="shared" si="143"/>
        <v>10000</v>
      </c>
      <c r="AX157" s="135" t="str">
        <f t="shared" si="144"/>
        <v>1789.92604368691-241.541543910354i</v>
      </c>
      <c r="AY157" s="135" t="str">
        <f t="shared" si="110"/>
        <v>1521.74109828463-173.695045855575i</v>
      </c>
      <c r="AZ157" s="135" t="str">
        <f t="shared" si="111"/>
        <v>0.458311704223069-1.9814764606639i</v>
      </c>
      <c r="BA157" s="182">
        <f t="shared" si="112"/>
        <v>2.0337892177885566</v>
      </c>
      <c r="BB157" s="182">
        <f t="shared" si="113"/>
        <v>6.166118811509941</v>
      </c>
      <c r="BC157" s="182">
        <f t="shared" si="114"/>
        <v>-76.976617688305367</v>
      </c>
      <c r="BE157" s="135" t="str">
        <f t="shared" si="115"/>
        <v>0.000156498975360286+0.00192493139268062i</v>
      </c>
      <c r="BF157" s="161">
        <f t="shared" si="116"/>
        <v>1.9312826814881789E-3</v>
      </c>
      <c r="BG157" s="161">
        <f t="shared" si="117"/>
        <v>-54.283083079302614</v>
      </c>
      <c r="BH157" s="161">
        <f t="shared" si="118"/>
        <v>85.352014874173463</v>
      </c>
      <c r="BI157" s="64">
        <f t="shared" si="119"/>
        <v>-94.647985125826537</v>
      </c>
      <c r="BV157" s="186">
        <v>1584893.1924611153</v>
      </c>
      <c r="BW157" s="64">
        <v>-42.495332471167458</v>
      </c>
      <c r="BX157" s="64">
        <v>-167.74110715514138</v>
      </c>
      <c r="CC157" s="186">
        <v>1584893.1924611153</v>
      </c>
      <c r="CD157" s="64">
        <v>-51.747359053296236</v>
      </c>
      <c r="CE157" s="64">
        <v>-173.6261965169102</v>
      </c>
      <c r="CJ157" s="64">
        <v>1584893.1924611153</v>
      </c>
      <c r="CK157" s="64">
        <v>-68.105229510358868</v>
      </c>
      <c r="CL157" s="64">
        <v>-175.69250108278274</v>
      </c>
      <c r="CQ157" s="186">
        <v>1584893.1924611153</v>
      </c>
      <c r="CR157" s="64">
        <v>-56.854052276761358</v>
      </c>
      <c r="CS157" s="64">
        <v>-156.78598169938803</v>
      </c>
      <c r="CX157" s="139">
        <v>1584893.1924611153</v>
      </c>
      <c r="CY157" s="64">
        <v>-53.139846013710539</v>
      </c>
      <c r="CZ157" s="64">
        <v>-173.46746869925715</v>
      </c>
    </row>
    <row r="158" spans="2:104">
      <c r="B158" s="135">
        <f t="shared" si="127"/>
        <v>6.24</v>
      </c>
      <c r="C158" s="139">
        <f t="shared" si="92"/>
        <v>1737800.8287493798</v>
      </c>
      <c r="D158" s="139">
        <f t="shared" si="93"/>
        <v>10918924.634002611</v>
      </c>
      <c r="E158" s="32" t="str">
        <f t="shared" si="94"/>
        <v>10918924.6340026i</v>
      </c>
      <c r="F158"/>
      <c r="G158" s="153" t="str">
        <f t="shared" si="129"/>
        <v>0.04+0.0170008542769622i</v>
      </c>
      <c r="H158" s="153" t="str">
        <f t="shared" si="130"/>
        <v>1+71.0315028267837i</v>
      </c>
      <c r="I158" t="str">
        <f t="shared" si="121"/>
        <v>0.000247221353219743-0.000559649973107295i</v>
      </c>
      <c r="J158"/>
      <c r="K158" t="str">
        <f t="shared" si="122"/>
        <v>0.04+0.0170008542769622i</v>
      </c>
      <c r="L158" t="str">
        <f t="shared" si="131"/>
        <v>5.43580907071529+386.113687372369i</v>
      </c>
      <c r="M158" t="str">
        <f t="shared" si="123"/>
        <v>0.0000454801392034935-0.000102956149825485i</v>
      </c>
      <c r="N158" s="153" t="str">
        <f t="shared" si="132"/>
        <v>0.0011+2.40216341948057i</v>
      </c>
      <c r="O158" s="135" t="str">
        <f t="shared" si="133"/>
        <v>0.000242+0.528475952285725i</v>
      </c>
      <c r="Q158" s="135" t="str">
        <f t="shared" si="134"/>
        <v>-10.9189246340026i</v>
      </c>
      <c r="R158" s="135" t="str">
        <f t="shared" si="135"/>
        <v>-48.3192275264325</v>
      </c>
      <c r="S158" s="64" t="str">
        <f t="shared" si="124"/>
        <v>-47.3192275264325-10.9189246340026i</v>
      </c>
      <c r="T158" s="135" t="str">
        <f t="shared" si="136"/>
        <v>-0.473192275264325-0.109189246340026i</v>
      </c>
      <c r="U158" s="64" t="str">
        <f t="shared" si="125"/>
        <v>-0.472904795125122+0.419183749795873i</v>
      </c>
      <c r="W158" s="64" t="str">
        <f t="shared" si="126"/>
        <v>-0.000880192440087794+0.000403226204290996i</v>
      </c>
      <c r="X158" s="172">
        <f t="shared" si="95"/>
        <v>9.6815809835719944E-4</v>
      </c>
      <c r="Y158" s="188">
        <f t="shared" si="96"/>
        <v>-60.281074348920967</v>
      </c>
      <c r="Z158" s="161">
        <f t="shared" si="97"/>
        <v>155.38694374026664</v>
      </c>
      <c r="AA158" s="161">
        <f t="shared" si="128"/>
        <v>-155.38694374026664</v>
      </c>
      <c r="AB158" s="199"/>
      <c r="AC158" s="64" t="str">
        <f t="shared" si="137"/>
        <v>-9158.41104796988i</v>
      </c>
      <c r="AD158" s="64" t="str">
        <f t="shared" si="138"/>
        <v>22000-915.841104796988i</v>
      </c>
      <c r="AE158" s="64" t="str">
        <f t="shared" si="98"/>
        <v>3151.68677620778-7715.18889842177i</v>
      </c>
      <c r="AF158" s="64" t="str">
        <f t="shared" si="139"/>
        <v>10000</v>
      </c>
      <c r="AG158" s="64" t="str">
        <f t="shared" si="140"/>
        <v>-234.831052512048i</v>
      </c>
      <c r="AH158" s="64" t="str">
        <f t="shared" si="99"/>
        <v>5.51152295870692-234.701624838314i</v>
      </c>
      <c r="AI158" s="64" t="str">
        <f t="shared" si="100"/>
        <v>33.1693794640156+12.6495629581221i</v>
      </c>
      <c r="AJ158" s="161">
        <f t="shared" si="101"/>
        <v>35.499565871420941</v>
      </c>
      <c r="AK158" s="161">
        <f t="shared" si="102"/>
        <v>31.004460840933344</v>
      </c>
      <c r="AL158" s="161">
        <f t="shared" si="103"/>
        <v>20.87498362161794</v>
      </c>
      <c r="AN158" s="64" t="str">
        <f t="shared" si="104"/>
        <v>-0.0342960723041734+0.00224071329380906i</v>
      </c>
      <c r="AO158" s="161">
        <f t="shared" si="105"/>
        <v>3.4369192186581028E-2</v>
      </c>
      <c r="AP158" s="161">
        <f t="shared" si="106"/>
        <v>-29.27661350798763</v>
      </c>
      <c r="AQ158" s="161">
        <f t="shared" si="107"/>
        <v>176.26192736188457</v>
      </c>
      <c r="AR158" s="64">
        <f t="shared" si="108"/>
        <v>-3.7380726381154261</v>
      </c>
      <c r="AT158" s="135" t="str">
        <f t="shared" si="141"/>
        <v>-2866.05898289862i</v>
      </c>
      <c r="AU158" s="135" t="str">
        <f t="shared" si="142"/>
        <v>27456.1383070198-513.003361623305i</v>
      </c>
      <c r="AV158" s="135" t="str">
        <f t="shared" si="109"/>
        <v>294.714873487083-2829.78804340105i</v>
      </c>
      <c r="AW158" s="135" t="str">
        <f t="shared" si="143"/>
        <v>10000</v>
      </c>
      <c r="AX158" s="135" t="str">
        <f t="shared" si="144"/>
        <v>1789.92604368691-220.288506201004i</v>
      </c>
      <c r="AY158" s="135" t="str">
        <f t="shared" si="110"/>
        <v>1521.14263691278-158.422946495581i</v>
      </c>
      <c r="AZ158" s="135" t="str">
        <f t="shared" si="111"/>
        <v>0.383333546272895-1.8203810387761i</v>
      </c>
      <c r="BA158" s="182">
        <f t="shared" si="112"/>
        <v>1.8603042047024745</v>
      </c>
      <c r="BB158" s="182">
        <f t="shared" si="113"/>
        <v>5.3916793534025631</v>
      </c>
      <c r="BC158" s="182">
        <f t="shared" si="114"/>
        <v>-78.108465757815893</v>
      </c>
      <c r="BE158" s="135" t="str">
        <f t="shared" si="115"/>
        <v>0.00039661804716754+0.00175685575925091i</v>
      </c>
      <c r="BF158" s="161">
        <f t="shared" si="116"/>
        <v>1.8010685811906452E-3</v>
      </c>
      <c r="BG158" s="161">
        <f t="shared" si="117"/>
        <v>-54.88939499551843</v>
      </c>
      <c r="BH158" s="161">
        <f t="shared" si="118"/>
        <v>77.278477982450752</v>
      </c>
      <c r="BI158" s="64">
        <f t="shared" si="119"/>
        <v>-102.72152201754925</v>
      </c>
      <c r="BV158" s="186">
        <v>1737800.8287493798</v>
      </c>
      <c r="BW158" s="64">
        <v>-42.862662189252049</v>
      </c>
      <c r="BX158" s="64">
        <v>-164.54830889697666</v>
      </c>
      <c r="CC158" s="186">
        <v>1737800.8287493798</v>
      </c>
      <c r="CD158" s="64">
        <v>-51.771475842936027</v>
      </c>
      <c r="CE158" s="64">
        <v>-168.81898777246448</v>
      </c>
      <c r="CJ158" s="64">
        <v>1737800.8287493798</v>
      </c>
      <c r="CK158" s="64">
        <v>-67.946473440831227</v>
      </c>
      <c r="CL158" s="64">
        <v>-179.61134790331948</v>
      </c>
      <c r="CQ158" s="186">
        <v>1737800.8287493798</v>
      </c>
      <c r="CR158" s="64">
        <v>-57.100305178107796</v>
      </c>
      <c r="CS158" s="64">
        <v>-151.80470915159091</v>
      </c>
      <c r="CX158" s="139">
        <v>1737800.8287493798</v>
      </c>
      <c r="CY158" s="64">
        <v>-53.140146300069738</v>
      </c>
      <c r="CZ158" s="64">
        <v>-168.4615591633812</v>
      </c>
    </row>
    <row r="159" spans="2:104">
      <c r="B159" s="135">
        <f t="shared" si="127"/>
        <v>6.28</v>
      </c>
      <c r="C159" s="139">
        <f t="shared" si="92"/>
        <v>1905460.7179632513</v>
      </c>
      <c r="D159" s="139">
        <f t="shared" si="93"/>
        <v>11972362.786514565</v>
      </c>
      <c r="E159" s="32" t="str">
        <f t="shared" si="94"/>
        <v>11972362.7865146i</v>
      </c>
      <c r="F159"/>
      <c r="G159" s="153" t="str">
        <f t="shared" si="129"/>
        <v>0.04+0.0143506430589452i</v>
      </c>
      <c r="H159" s="153" t="str">
        <f t="shared" si="130"/>
        <v>1+59.7952754214723i</v>
      </c>
      <c r="I159" t="str">
        <f t="shared" si="121"/>
        <v>0.000251113362610931-0.000664749620387489i</v>
      </c>
      <c r="J159"/>
      <c r="K159" t="str">
        <f t="shared" si="122"/>
        <v>0.04+0.0143506430589452i</v>
      </c>
      <c r="L159" t="str">
        <f t="shared" si="131"/>
        <v>5.43580907071529+325.035700521958i</v>
      </c>
      <c r="M159" t="str">
        <f t="shared" si="123"/>
        <v>0.0000461961337022987-0.000122290833202502i</v>
      </c>
      <c r="N159" s="153" t="str">
        <f t="shared" si="132"/>
        <v>0.0011+2.63391981303321i</v>
      </c>
      <c r="O159" s="135" t="str">
        <f t="shared" si="133"/>
        <v>0.000242+0.579462358867306i</v>
      </c>
      <c r="Q159" s="135" t="str">
        <f t="shared" si="134"/>
        <v>-11.9723627865146i</v>
      </c>
      <c r="R159" s="135" t="str">
        <f t="shared" si="135"/>
        <v>-58.0924887632169</v>
      </c>
      <c r="S159" s="64" t="str">
        <f t="shared" si="124"/>
        <v>-57.0924887632169-11.9723627865146i</v>
      </c>
      <c r="T159" s="135" t="str">
        <f t="shared" si="136"/>
        <v>-0.570924887632169-0.119723627865146i</v>
      </c>
      <c r="U159" s="64" t="str">
        <f t="shared" si="125"/>
        <v>-0.570636691498467+0.459616440168958i</v>
      </c>
      <c r="W159" s="64" t="str">
        <f t="shared" si="126"/>
        <v>-0.000835996464239592+0.000491577050124905i</v>
      </c>
      <c r="X159" s="172">
        <f t="shared" si="95"/>
        <v>9.6981342763987483E-4</v>
      </c>
      <c r="Y159" s="188">
        <f t="shared" si="96"/>
        <v>-60.26623614230364</v>
      </c>
      <c r="Z159" s="161">
        <f t="shared" si="97"/>
        <v>149.54390504410131</v>
      </c>
      <c r="AA159" s="161">
        <f t="shared" si="128"/>
        <v>-149.54390504410131</v>
      </c>
      <c r="AB159" s="199"/>
      <c r="AC159" s="64" t="str">
        <f t="shared" si="137"/>
        <v>-8352.57014702545i</v>
      </c>
      <c r="AD159" s="64" t="str">
        <f t="shared" si="138"/>
        <v>22000-835.257014702545i</v>
      </c>
      <c r="AE159" s="64" t="str">
        <f t="shared" si="98"/>
        <v>2700.20366040391-7224.88812278653i</v>
      </c>
      <c r="AF159" s="64" t="str">
        <f t="shared" si="139"/>
        <v>10000</v>
      </c>
      <c r="AG159" s="64" t="str">
        <f t="shared" si="140"/>
        <v>-214.168465308345i</v>
      </c>
      <c r="AH159" s="64" t="str">
        <f t="shared" si="99"/>
        <v>4.58471023233343-214.070275272911i</v>
      </c>
      <c r="AI159" s="64" t="str">
        <f t="shared" si="100"/>
        <v>34.0046232282527+11.8853601374551i</v>
      </c>
      <c r="AJ159" s="161">
        <f t="shared" si="101"/>
        <v>36.021884827038541</v>
      </c>
      <c r="AK159" s="161">
        <f t="shared" si="102"/>
        <v>31.131328666375552</v>
      </c>
      <c r="AL159" s="161">
        <f t="shared" si="103"/>
        <v>19.265638345088458</v>
      </c>
      <c r="AN159" s="64" t="str">
        <f t="shared" si="104"/>
        <v>-0.0342703150626611+0.00677977332602663i</v>
      </c>
      <c r="AO159" s="161">
        <f t="shared" si="105"/>
        <v>3.4934507594159087E-2</v>
      </c>
      <c r="AP159" s="161">
        <f t="shared" si="106"/>
        <v>-29.134907475928085</v>
      </c>
      <c r="AQ159" s="161">
        <f t="shared" si="107"/>
        <v>168.8095433891898</v>
      </c>
      <c r="AR159" s="64">
        <f t="shared" si="108"/>
        <v>-11.190456610810202</v>
      </c>
      <c r="AT159" s="135" t="str">
        <f t="shared" si="141"/>
        <v>-2613.87685863691i</v>
      </c>
      <c r="AU159" s="135" t="str">
        <f t="shared" si="142"/>
        <v>27456.1383070198-467.864626426474i</v>
      </c>
      <c r="AV159" s="135" t="str">
        <f t="shared" si="109"/>
        <v>245.750030562063-2586.293297698i</v>
      </c>
      <c r="AW159" s="135" t="str">
        <f t="shared" si="143"/>
        <v>10000</v>
      </c>
      <c r="AX159" s="135" t="str">
        <f t="shared" si="144"/>
        <v>1789.92604368691-200.905505440837i</v>
      </c>
      <c r="AY159" s="135" t="str">
        <f t="shared" si="110"/>
        <v>1520.64479405868-144.491927867031i</v>
      </c>
      <c r="AZ159" s="135" t="str">
        <f t="shared" si="111"/>
        <v>0.320326021970062-1.67034982999426i</v>
      </c>
      <c r="BA159" s="182">
        <f t="shared" si="112"/>
        <v>1.7007872632733989</v>
      </c>
      <c r="BB159" s="182">
        <f t="shared" si="113"/>
        <v>4.6129998975967519</v>
      </c>
      <c r="BC159" s="182">
        <f t="shared" si="114"/>
        <v>-79.144084291851939</v>
      </c>
      <c r="BE159" s="135" t="str">
        <f t="shared" si="115"/>
        <v>0.000553314220334309+0.00155387147287669i</v>
      </c>
      <c r="BF159" s="161">
        <f t="shared" si="116"/>
        <v>1.6494463254814137E-3</v>
      </c>
      <c r="BG159" s="161">
        <f t="shared" si="117"/>
        <v>-55.653236244706918</v>
      </c>
      <c r="BH159" s="161">
        <f t="shared" si="118"/>
        <v>70.399820752249354</v>
      </c>
      <c r="BI159" s="64">
        <f t="shared" si="119"/>
        <v>-109.60017924775065</v>
      </c>
      <c r="BV159" s="186">
        <v>1905460.7179632513</v>
      </c>
      <c r="BW159" s="64">
        <v>-43.270514975446694</v>
      </c>
      <c r="BX159" s="64">
        <v>-161.31587793227513</v>
      </c>
      <c r="CC159" s="186">
        <v>1905460.7179632513</v>
      </c>
      <c r="CD159" s="64">
        <v>-51.86288804025645</v>
      </c>
      <c r="CE159" s="64">
        <v>-164.30167706916905</v>
      </c>
      <c r="CJ159" s="64">
        <v>1905460.7179632513</v>
      </c>
      <c r="CK159" s="64">
        <v>-67.839738314618756</v>
      </c>
      <c r="CL159" s="64">
        <v>-176.72958707929612</v>
      </c>
      <c r="CQ159" s="186">
        <v>1905460.7179632513</v>
      </c>
      <c r="CR159" s="64">
        <v>-57.418269512325175</v>
      </c>
      <c r="CS159" s="64">
        <v>-147.23588715465425</v>
      </c>
      <c r="CX159" s="139">
        <v>1905460.7179632513</v>
      </c>
      <c r="CY159" s="64">
        <v>-53.211436064873752</v>
      </c>
      <c r="CZ159" s="64">
        <v>-163.77942979938064</v>
      </c>
    </row>
    <row r="160" spans="2:104">
      <c r="B160" s="135">
        <f t="shared" si="127"/>
        <v>6.32</v>
      </c>
      <c r="C160" s="139">
        <f t="shared" si="92"/>
        <v>2089296.1308540432</v>
      </c>
      <c r="D160" s="139">
        <f t="shared" si="93"/>
        <v>13127434.751729282</v>
      </c>
      <c r="E160" s="32" t="str">
        <f t="shared" si="94"/>
        <v>13127434.7517293i</v>
      </c>
      <c r="F160"/>
      <c r="G160" s="153" t="str">
        <f t="shared" si="129"/>
        <v>0.04+0.0123435158341555i</v>
      </c>
      <c r="H160" s="153" t="str">
        <f t="shared" si="130"/>
        <v>1+51.2791890750906i</v>
      </c>
      <c r="I160" t="str">
        <f t="shared" si="121"/>
        <v>0.000255826402758516-0.000775054643298711i</v>
      </c>
      <c r="J160"/>
      <c r="K160" t="str">
        <f t="shared" si="122"/>
        <v>0.04+0.0123435158341555i</v>
      </c>
      <c r="L160" t="str">
        <f t="shared" si="131"/>
        <v>5.43580907071529+278.743881113302i</v>
      </c>
      <c r="M160" t="str">
        <f t="shared" si="123"/>
        <v>0.0000470631693332915-0.000142583124833103i</v>
      </c>
      <c r="N160" s="153" t="str">
        <f t="shared" si="132"/>
        <v>0.0011+2.88803564538045i</v>
      </c>
      <c r="O160" s="135" t="str">
        <f t="shared" si="133"/>
        <v>0.000242+0.635367841983699i</v>
      </c>
      <c r="Q160" s="135" t="str">
        <f t="shared" si="134"/>
        <v>-13.1274347517293i</v>
      </c>
      <c r="R160" s="135" t="str">
        <f t="shared" si="135"/>
        <v>-69.8425331584269</v>
      </c>
      <c r="S160" s="64" t="str">
        <f t="shared" si="124"/>
        <v>-68.8425331584269-13.1274347517293i</v>
      </c>
      <c r="T160" s="135" t="str">
        <f t="shared" si="136"/>
        <v>-0.688425331584269-0.131274347517293i</v>
      </c>
      <c r="U160" s="64" t="str">
        <f t="shared" si="125"/>
        <v>-0.688136268414936+0.503950911341573i</v>
      </c>
      <c r="W160" s="64" t="str">
        <f t="shared" si="126"/>
        <v>-0.000778878959083776+0.000555904258505093i</v>
      </c>
      <c r="X160" s="172">
        <f t="shared" si="95"/>
        <v>9.5691273245135757E-4</v>
      </c>
      <c r="Y160" s="188">
        <f t="shared" si="96"/>
        <v>-60.382553335224813</v>
      </c>
      <c r="Z160" s="161">
        <f t="shared" si="97"/>
        <v>144.48365574809662</v>
      </c>
      <c r="AA160" s="161">
        <f t="shared" si="128"/>
        <v>-144.48365574809662</v>
      </c>
      <c r="AB160" s="199"/>
      <c r="AC160" s="64" t="str">
        <f t="shared" si="137"/>
        <v>-7617.6345105678i</v>
      </c>
      <c r="AD160" s="64" t="str">
        <f t="shared" si="138"/>
        <v>22000-761.76345105678i</v>
      </c>
      <c r="AE160" s="64" t="str">
        <f t="shared" si="98"/>
        <v>2303.48404635389-6740.27953226543i</v>
      </c>
      <c r="AF160" s="64" t="str">
        <f t="shared" si="139"/>
        <v>10000</v>
      </c>
      <c r="AG160" s="64" t="str">
        <f t="shared" si="140"/>
        <v>-195.323961809431i</v>
      </c>
      <c r="AH160" s="64" t="str">
        <f t="shared" si="99"/>
        <v>3.81369002764698-195.2494713049i</v>
      </c>
      <c r="AI160" s="64" t="str">
        <f t="shared" si="100"/>
        <v>34.7385545142453+11.1191182896358i</v>
      </c>
      <c r="AJ160" s="161">
        <f t="shared" si="101"/>
        <v>36.474675615803712</v>
      </c>
      <c r="AK160" s="161">
        <f t="shared" si="102"/>
        <v>31.239828764487079</v>
      </c>
      <c r="AL160" s="161">
        <f t="shared" si="103"/>
        <v>17.748832056663172</v>
      </c>
      <c r="AN160" s="64" t="str">
        <f t="shared" si="104"/>
        <v>-0.0332382943881608+0.0106508631094194i</v>
      </c>
      <c r="AO160" s="161">
        <f t="shared" si="105"/>
        <v>3.4903081508795647E-2</v>
      </c>
      <c r="AP160" s="161">
        <f t="shared" si="106"/>
        <v>-29.142724570737727</v>
      </c>
      <c r="AQ160" s="161">
        <f t="shared" si="107"/>
        <v>162.23248780475973</v>
      </c>
      <c r="AR160" s="64">
        <f t="shared" si="108"/>
        <v>-17.767512195240272</v>
      </c>
      <c r="AT160" s="135" t="str">
        <f t="shared" si="141"/>
        <v>-2383.88402781844i</v>
      </c>
      <c r="AU160" s="135" t="str">
        <f t="shared" si="142"/>
        <v>27456.1383070198-426.697610652148i</v>
      </c>
      <c r="AV160" s="135" t="str">
        <f t="shared" si="109"/>
        <v>204.834717476922-2362.91586800571i</v>
      </c>
      <c r="AW160" s="135" t="str">
        <f t="shared" si="143"/>
        <v>10000</v>
      </c>
      <c r="AX160" s="135" t="str">
        <f t="shared" si="144"/>
        <v>1789.92604368691-183.227998648321i</v>
      </c>
      <c r="AY160" s="135" t="str">
        <f t="shared" si="110"/>
        <v>1520.2306618702-131.784640469131i</v>
      </c>
      <c r="AZ160" s="135" t="str">
        <f t="shared" si="111"/>
        <v>0.267468530415957-1.53112792832669i</v>
      </c>
      <c r="BA160" s="182">
        <f t="shared" si="112"/>
        <v>1.5543140440930376</v>
      </c>
      <c r="BB160" s="182">
        <f t="shared" si="113"/>
        <v>3.8307754223405799</v>
      </c>
      <c r="BC160" s="182">
        <f t="shared" si="114"/>
        <v>-80.091142084079507</v>
      </c>
      <c r="BE160" s="135" t="str">
        <f t="shared" si="115"/>
        <v>0.00064283492511484+0.00134125022211352i</v>
      </c>
      <c r="BF160" s="161">
        <f t="shared" si="116"/>
        <v>1.4873428990205887E-3</v>
      </c>
      <c r="BG160" s="161">
        <f t="shared" si="117"/>
        <v>-56.551777912884226</v>
      </c>
      <c r="BH160" s="161">
        <f t="shared" si="118"/>
        <v>64.392513664017116</v>
      </c>
      <c r="BI160" s="64">
        <f t="shared" si="119"/>
        <v>-115.60748633598288</v>
      </c>
      <c r="BV160" s="186">
        <v>2089296.1308540432</v>
      </c>
      <c r="BW160" s="64">
        <v>-43.716001081349262</v>
      </c>
      <c r="BX160" s="64">
        <v>-158.06876655618359</v>
      </c>
      <c r="CC160" s="186">
        <v>2089296.1308540432</v>
      </c>
      <c r="CD160" s="64">
        <v>-52.017617259830729</v>
      </c>
      <c r="CE160" s="64">
        <v>-160.01619916973695</v>
      </c>
      <c r="CJ160" s="64">
        <v>2089296.1308540432</v>
      </c>
      <c r="CK160" s="64">
        <v>-67.781023487916869</v>
      </c>
      <c r="CL160" s="64">
        <v>-173.24898585001208</v>
      </c>
      <c r="CQ160" s="186">
        <v>2089296.1308540432</v>
      </c>
      <c r="CR160" s="64">
        <v>-57.800533133734817</v>
      </c>
      <c r="CS160" s="64">
        <v>-143.02589626548564</v>
      </c>
      <c r="CX160" s="139">
        <v>2089296.1308540432</v>
      </c>
      <c r="CY160" s="64">
        <v>-53.349571810143402</v>
      </c>
      <c r="CZ160" s="64">
        <v>-159.3578039063276</v>
      </c>
    </row>
    <row r="161" spans="2:104">
      <c r="B161" s="135">
        <f t="shared" si="127"/>
        <v>6.36</v>
      </c>
      <c r="C161" s="139">
        <f t="shared" si="92"/>
        <v>2290867.6527677765</v>
      </c>
      <c r="D161" s="139">
        <f t="shared" si="93"/>
        <v>14393945.97656348</v>
      </c>
      <c r="E161" s="32" t="str">
        <f t="shared" si="94"/>
        <v>14393945.9765635i</v>
      </c>
      <c r="F161"/>
      <c r="G161" s="153" t="str">
        <f t="shared" si="129"/>
        <v>0.04+0.0107612196430491i</v>
      </c>
      <c r="H161" s="153" t="str">
        <f t="shared" si="130"/>
        <v>1+44.57190651933i</v>
      </c>
      <c r="I161" t="str">
        <f t="shared" si="121"/>
        <v>0.000261437782200067-0.000891560745793229i</v>
      </c>
      <c r="J161"/>
      <c r="K161" t="str">
        <f t="shared" si="122"/>
        <v>0.04+0.0107612196430491i</v>
      </c>
      <c r="L161" t="str">
        <f t="shared" si="131"/>
        <v>5.43580907071529+242.284373756848i</v>
      </c>
      <c r="M161" t="str">
        <f t="shared" si="123"/>
        <v>0.0000480954681812738-0.000164016199648438i</v>
      </c>
      <c r="N161" s="153" t="str">
        <f t="shared" si="132"/>
        <v>0.0011+3.16666811484397i</v>
      </c>
      <c r="O161" s="135" t="str">
        <f t="shared" si="133"/>
        <v>0.000242+0.696666985265673i</v>
      </c>
      <c r="Q161" s="135" t="str">
        <f t="shared" si="134"/>
        <v>-14.3939459765635i</v>
      </c>
      <c r="R161" s="135" t="str">
        <f t="shared" si="135"/>
        <v>-83.9691936399643</v>
      </c>
      <c r="S161" s="64" t="str">
        <f t="shared" si="124"/>
        <v>-82.9691936399643-14.3939459765635i</v>
      </c>
      <c r="T161" s="135" t="str">
        <f t="shared" si="136"/>
        <v>-0.829691936399643-0.143939459765635i</v>
      </c>
      <c r="U161" s="64" t="str">
        <f t="shared" si="125"/>
        <v>-0.829401840931462+0.55256350930039i</v>
      </c>
      <c r="W161" s="64" t="str">
        <f t="shared" si="126"/>
        <v>-0.000714314071629593+0.000599054440333692i</v>
      </c>
      <c r="X161" s="172">
        <f t="shared" si="95"/>
        <v>9.3226113048413661E-4</v>
      </c>
      <c r="Y161" s="188">
        <f t="shared" si="96"/>
        <v>-60.609248455841879</v>
      </c>
      <c r="Z161" s="161">
        <f t="shared" si="97"/>
        <v>140.01535917431127</v>
      </c>
      <c r="AA161" s="161">
        <f t="shared" si="128"/>
        <v>-140.01535917431127</v>
      </c>
      <c r="AB161" s="199"/>
      <c r="AC161" s="64" t="str">
        <f t="shared" si="137"/>
        <v>-6947.36524388949i</v>
      </c>
      <c r="AD161" s="64" t="str">
        <f t="shared" si="138"/>
        <v>22000-694.736524388948i</v>
      </c>
      <c r="AE161" s="64" t="str">
        <f t="shared" si="98"/>
        <v>1957.68082263234-6267.32905860025i</v>
      </c>
      <c r="AF161" s="64" t="str">
        <f t="shared" si="139"/>
        <v>10000</v>
      </c>
      <c r="AG161" s="64" t="str">
        <f t="shared" si="140"/>
        <v>-178.137570356141i</v>
      </c>
      <c r="AH161" s="64" t="str">
        <f t="shared" si="99"/>
        <v>3.17229273377691-178.081059904136i</v>
      </c>
      <c r="AI161" s="64" t="str">
        <f t="shared" si="100"/>
        <v>35.3782904781301+10.3629803742664i</v>
      </c>
      <c r="AJ161" s="161">
        <f t="shared" si="101"/>
        <v>36.864817908032329</v>
      </c>
      <c r="AK161" s="161">
        <f t="shared" si="102"/>
        <v>31.332241861360636</v>
      </c>
      <c r="AL161" s="161">
        <f t="shared" si="103"/>
        <v>16.326320672990057</v>
      </c>
      <c r="AN161" s="64" t="str">
        <f t="shared" si="104"/>
        <v>-0.0314792001270228+0.0137910992969792i</v>
      </c>
      <c r="AO161" s="161">
        <f t="shared" si="105"/>
        <v>3.4367636818034092E-2</v>
      </c>
      <c r="AP161" s="161">
        <f t="shared" si="106"/>
        <v>-29.277006594481236</v>
      </c>
      <c r="AQ161" s="161">
        <f t="shared" si="107"/>
        <v>156.34167984730138</v>
      </c>
      <c r="AR161" s="64">
        <f t="shared" si="108"/>
        <v>-23.658320152698622</v>
      </c>
      <c r="AT161" s="135" t="str">
        <f t="shared" si="141"/>
        <v>-2174.12807313784i</v>
      </c>
      <c r="AU161" s="135" t="str">
        <f t="shared" si="142"/>
        <v>27456.1383070198-389.152846042026i</v>
      </c>
      <c r="AV161" s="135" t="str">
        <f t="shared" si="109"/>
        <v>170.671857994117-2158.19429861553i</v>
      </c>
      <c r="AW161" s="135" t="str">
        <f t="shared" si="143"/>
        <v>10000</v>
      </c>
      <c r="AX161" s="135" t="str">
        <f t="shared" si="144"/>
        <v>1789.92604368691-167.105920840759i</v>
      </c>
      <c r="AY161" s="135" t="str">
        <f t="shared" si="110"/>
        <v>1519.88617090153-120.193903252239i</v>
      </c>
      <c r="AZ161" s="135" t="str">
        <f t="shared" si="111"/>
        <v>0.223189275714191-1.40232100877605i</v>
      </c>
      <c r="BA161" s="182">
        <f t="shared" si="112"/>
        <v>1.4199710083126713</v>
      </c>
      <c r="BB161" s="182">
        <f t="shared" si="113"/>
        <v>3.0455895488109586</v>
      </c>
      <c r="BC161" s="182">
        <f t="shared" si="114"/>
        <v>-80.956821154260169</v>
      </c>
      <c r="BE161" s="135" t="str">
        <f t="shared" si="115"/>
        <v>0.000680639386801052+0.00113540015616199i</v>
      </c>
      <c r="BF161" s="161">
        <f t="shared" si="116"/>
        <v>1.3237837774642744E-3</v>
      </c>
      <c r="BG161" s="161">
        <f t="shared" si="117"/>
        <v>-57.563658907030899</v>
      </c>
      <c r="BH161" s="161">
        <f t="shared" si="118"/>
        <v>59.058538020051195</v>
      </c>
      <c r="BI161" s="64">
        <f t="shared" si="119"/>
        <v>-120.9414619799488</v>
      </c>
      <c r="BV161" s="186">
        <v>2290867.6527677765</v>
      </c>
      <c r="BW161" s="64">
        <v>-44.196762565313257</v>
      </c>
      <c r="BX161" s="64">
        <v>-154.83721579455505</v>
      </c>
      <c r="CC161" s="186">
        <v>2290867.6527677765</v>
      </c>
      <c r="CD161" s="64">
        <v>-52.232107841127828</v>
      </c>
      <c r="CE161" s="64">
        <v>-155.92744877667675</v>
      </c>
      <c r="CJ161" s="64">
        <v>2290867.6527677765</v>
      </c>
      <c r="CK161" s="64">
        <v>-67.767245694888572</v>
      </c>
      <c r="CL161" s="64">
        <v>-169.88780453527639</v>
      </c>
      <c r="CQ161" s="186">
        <v>2290867.6527677765</v>
      </c>
      <c r="CR161" s="64">
        <v>-58.240040619672797</v>
      </c>
      <c r="CS161" s="64">
        <v>-139.13906165157294</v>
      </c>
      <c r="CX161" s="139">
        <v>2290867.6527677765</v>
      </c>
      <c r="CY161" s="64">
        <v>-53.550725730021036</v>
      </c>
      <c r="CZ161" s="64">
        <v>-155.15692051294874</v>
      </c>
    </row>
    <row r="162" spans="2:104">
      <c r="B162" s="135">
        <f t="shared" si="127"/>
        <v>6.4</v>
      </c>
      <c r="C162" s="139">
        <f t="shared" si="92"/>
        <v>2511886.431509587</v>
      </c>
      <c r="D162" s="139">
        <f t="shared" si="93"/>
        <v>15782647.919764798</v>
      </c>
      <c r="E162" s="32" t="str">
        <f t="shared" si="94"/>
        <v>15782647.9197648i</v>
      </c>
      <c r="F162"/>
      <c r="G162" s="153" t="str">
        <f t="shared" si="129"/>
        <v>0.04+0.0094752835697288i</v>
      </c>
      <c r="H162" s="153" t="str">
        <f t="shared" si="130"/>
        <v>1+39.1329943868576i</v>
      </c>
      <c r="I162" t="str">
        <f t="shared" si="121"/>
        <v>0.000268075283537005-0.00101530499618007i</v>
      </c>
      <c r="J162"/>
      <c r="K162" t="str">
        <f t="shared" si="122"/>
        <v>0.04+0.0094752835697288i</v>
      </c>
      <c r="L162" t="str">
        <f t="shared" si="131"/>
        <v>5.43580907071529+212.719485852331i</v>
      </c>
      <c r="M162" t="str">
        <f t="shared" si="123"/>
        <v>0.0000493165378050575-0.000186780842184081i</v>
      </c>
      <c r="N162" s="153" t="str">
        <f t="shared" si="132"/>
        <v>0.0011+3.47218254234826i</v>
      </c>
      <c r="O162" s="135" t="str">
        <f t="shared" si="133"/>
        <v>0.000242+0.763880159316617i</v>
      </c>
      <c r="Q162" s="135" t="str">
        <f t="shared" si="134"/>
        <v>-15.7826479197648i</v>
      </c>
      <c r="R162" s="135" t="str">
        <f t="shared" si="135"/>
        <v>-100.953175116831</v>
      </c>
      <c r="S162" s="64" t="str">
        <f t="shared" si="124"/>
        <v>-99.953175116831-15.7826479197648i</v>
      </c>
      <c r="T162" s="135" t="str">
        <f t="shared" si="136"/>
        <v>-0.99953175116831-0.157826479197648i</v>
      </c>
      <c r="U162" s="64" t="str">
        <f t="shared" si="125"/>
        <v>-0.999240434630505+0.605866899276785i</v>
      </c>
      <c r="W162" s="64" t="str">
        <f t="shared" si="126"/>
        <v>-0.000646631305040923+0.000624006466121632i</v>
      </c>
      <c r="X162" s="172">
        <f t="shared" si="95"/>
        <v>8.9861900403927285E-4</v>
      </c>
      <c r="Y162" s="188">
        <f t="shared" si="96"/>
        <v>-60.92848802329258</v>
      </c>
      <c r="Z162" s="161">
        <f t="shared" si="97"/>
        <v>136.02009466401381</v>
      </c>
      <c r="AA162" s="161">
        <f t="shared" si="128"/>
        <v>-136.02009466401381</v>
      </c>
      <c r="AB162" s="199"/>
      <c r="AC162" s="64" t="str">
        <f t="shared" si="137"/>
        <v>-6336.07240739172i</v>
      </c>
      <c r="AD162" s="64" t="str">
        <f t="shared" si="138"/>
        <v>22000-633.607240739172i</v>
      </c>
      <c r="AE162" s="64" t="str">
        <f t="shared" si="98"/>
        <v>1658.36834131928-5810.69531295547i</v>
      </c>
      <c r="AF162" s="64" t="str">
        <f t="shared" si="139"/>
        <v>10000</v>
      </c>
      <c r="AG162" s="64" t="str">
        <f t="shared" si="140"/>
        <v>-162.463395061326i</v>
      </c>
      <c r="AH162" s="64" t="str">
        <f t="shared" si="99"/>
        <v>2.63873899535429-162.420525211739i</v>
      </c>
      <c r="AI162" s="64" t="str">
        <f t="shared" si="100"/>
        <v>35.9320185685595+9.62657349311183i</v>
      </c>
      <c r="AJ162" s="161">
        <f t="shared" si="101"/>
        <v>37.199205309113637</v>
      </c>
      <c r="AK162" s="161">
        <f t="shared" si="102"/>
        <v>31.410673241964151</v>
      </c>
      <c r="AL162" s="161">
        <f t="shared" si="103"/>
        <v>14.997944117507194</v>
      </c>
      <c r="AN162" s="64" t="str">
        <f t="shared" si="104"/>
        <v>-0.0292418121660392+0.0161969681466604i</v>
      </c>
      <c r="AO162" s="161">
        <f t="shared" si="105"/>
        <v>3.3427912825928122E-2</v>
      </c>
      <c r="AP162" s="161">
        <f t="shared" si="106"/>
        <v>-29.517814781328426</v>
      </c>
      <c r="AQ162" s="161">
        <f t="shared" si="107"/>
        <v>151.01803878152103</v>
      </c>
      <c r="AR162" s="64">
        <f t="shared" si="108"/>
        <v>-28.981961218478972</v>
      </c>
      <c r="AT162" s="135" t="str">
        <f t="shared" si="141"/>
        <v>-1982.82836884969i</v>
      </c>
      <c r="AU162" s="135" t="str">
        <f t="shared" si="142"/>
        <v>27456.1383070198-354.911613756529i</v>
      </c>
      <c r="AV162" s="135" t="str">
        <f t="shared" si="109"/>
        <v>142.165328901105-1970.72376878554i</v>
      </c>
      <c r="AW162" s="135" t="str">
        <f t="shared" si="143"/>
        <v>10000</v>
      </c>
      <c r="AX162" s="135" t="str">
        <f t="shared" si="144"/>
        <v>1789.92604368691-152.402411127323i</v>
      </c>
      <c r="AY162" s="135" t="str">
        <f t="shared" si="110"/>
        <v>1519.59961447095-109.621846760588i</v>
      </c>
      <c r="AZ162" s="135" t="str">
        <f t="shared" si="111"/>
        <v>0.186140259174564-1.28344250106785i</v>
      </c>
      <c r="BA162" s="182">
        <f t="shared" si="112"/>
        <v>1.2968704058744156</v>
      </c>
      <c r="BB162" s="182">
        <f t="shared" si="113"/>
        <v>2.2579315983875503</v>
      </c>
      <c r="BC162" s="182">
        <f t="shared" si="114"/>
        <v>-81.747815916602804</v>
      </c>
      <c r="BE162" s="135" t="str">
        <f t="shared" si="115"/>
        <v>0.000680512300850954+0.000946066824740974i</v>
      </c>
      <c r="BF162" s="161">
        <f t="shared" si="116"/>
        <v>1.1653923924948748E-3</v>
      </c>
      <c r="BG162" s="161">
        <f t="shared" si="117"/>
        <v>-58.67055642490503</v>
      </c>
      <c r="BH162" s="161">
        <f t="shared" si="118"/>
        <v>54.272278747410979</v>
      </c>
      <c r="BI162" s="64">
        <f t="shared" si="119"/>
        <v>-125.72772125258902</v>
      </c>
      <c r="BV162" s="186">
        <v>2511886.431509587</v>
      </c>
      <c r="BW162" s="64">
        <v>-44.710804325062341</v>
      </c>
      <c r="BX162" s="64">
        <v>-151.65434189978228</v>
      </c>
      <c r="CC162" s="186">
        <v>2511886.431509587</v>
      </c>
      <c r="CD162" s="64">
        <v>-52.503146852541363</v>
      </c>
      <c r="CE162" s="64">
        <v>-152.01646280969939</v>
      </c>
      <c r="CJ162" s="64">
        <v>2511886.431509587</v>
      </c>
      <c r="CK162" s="64">
        <v>-67.796259986104289</v>
      </c>
      <c r="CL162" s="64">
        <v>-166.60343466940273</v>
      </c>
      <c r="CQ162" s="186">
        <v>2511886.431509587</v>
      </c>
      <c r="CR162" s="64">
        <v>-58.73021957674095</v>
      </c>
      <c r="CS162" s="64">
        <v>-135.55092353880127</v>
      </c>
      <c r="CX162" s="139">
        <v>2511886.431509587</v>
      </c>
      <c r="CY162" s="64">
        <v>-53.811336764336666</v>
      </c>
      <c r="CZ162" s="64">
        <v>-151.15368188958249</v>
      </c>
    </row>
    <row r="163" spans="2:104">
      <c r="B163" s="135">
        <f t="shared" si="127"/>
        <v>6.44</v>
      </c>
      <c r="C163" s="139">
        <f t="shared" si="92"/>
        <v>2754228.7033381732</v>
      </c>
      <c r="D163" s="139">
        <f t="shared" si="93"/>
        <v>17305329.321426693</v>
      </c>
      <c r="E163" s="32" t="str">
        <f t="shared" si="94"/>
        <v>17305329.3214267i</v>
      </c>
      <c r="F163"/>
      <c r="G163" s="153" t="str">
        <f t="shared" si="129"/>
        <v>0.04+0.00840536760772584i</v>
      </c>
      <c r="H163" s="153" t="str">
        <f t="shared" si="130"/>
        <v>1+34.6217710319254i</v>
      </c>
      <c r="I163" t="str">
        <f t="shared" si="121"/>
        <v>0.000275917154214837-0.00114737292928068i</v>
      </c>
      <c r="J163"/>
      <c r="K163" t="str">
        <f t="shared" si="122"/>
        <v>0.04+0.00840536760772584i</v>
      </c>
      <c r="L163" t="str">
        <f t="shared" si="131"/>
        <v>5.43580907071529+188.197337019568i</v>
      </c>
      <c r="M163" t="str">
        <f t="shared" si="123"/>
        <v>0.0000507591695413483-0.000211076753129906i</v>
      </c>
      <c r="N163" s="153" t="str">
        <f t="shared" si="132"/>
        <v>0.0011+3.80717245071387i</v>
      </c>
      <c r="O163" s="135" t="str">
        <f t="shared" si="133"/>
        <v>0.000242+0.837577939157051i</v>
      </c>
      <c r="Q163" s="135" t="str">
        <f t="shared" si="134"/>
        <v>-17.3053293214267i</v>
      </c>
      <c r="R163" s="135" t="str">
        <f t="shared" si="135"/>
        <v>-121.37241200467</v>
      </c>
      <c r="S163" s="64" t="str">
        <f t="shared" si="124"/>
        <v>-120.37241200467-17.3053293214267i</v>
      </c>
      <c r="T163" s="135" t="str">
        <f t="shared" si="136"/>
        <v>-1.2037241200467-0.173053293214267i</v>
      </c>
      <c r="U163" s="64" t="str">
        <f t="shared" si="125"/>
        <v>-1.20343136087716+0.664313569189654i</v>
      </c>
      <c r="W163" s="64" t="str">
        <f t="shared" si="126"/>
        <v>-0.000579109960982979+0.000633739778553639i</v>
      </c>
      <c r="X163" s="172">
        <f t="shared" si="95"/>
        <v>8.5848381104766506E-4</v>
      </c>
      <c r="Y163" s="188">
        <f t="shared" si="96"/>
        <v>-61.325357803630503</v>
      </c>
      <c r="Z163" s="161">
        <f t="shared" si="97"/>
        <v>132.42099646063818</v>
      </c>
      <c r="AA163" s="161">
        <f t="shared" si="128"/>
        <v>-132.42099646063818</v>
      </c>
      <c r="AB163" s="199"/>
      <c r="AC163" s="64" t="str">
        <f t="shared" si="137"/>
        <v>-5778.56671448514i</v>
      </c>
      <c r="AD163" s="64" t="str">
        <f t="shared" si="138"/>
        <v>22000-577.856671448514i</v>
      </c>
      <c r="AE163" s="64" t="str">
        <f t="shared" si="98"/>
        <v>1400.86682472744-5373.81659424531i</v>
      </c>
      <c r="AF163" s="64" t="str">
        <f t="shared" si="139"/>
        <v>10000</v>
      </c>
      <c r="AG163" s="64" t="str">
        <f t="shared" si="140"/>
        <v>-148.168377294491i</v>
      </c>
      <c r="AH163" s="64" t="str">
        <f t="shared" si="99"/>
        <v>2.19490493647512-148.135855744216i</v>
      </c>
      <c r="AI163" s="64" t="str">
        <f t="shared" si="100"/>
        <v>36.4083963742541+8.91717841814961i</v>
      </c>
      <c r="AJ163" s="161">
        <f t="shared" si="101"/>
        <v>37.484495427922099</v>
      </c>
      <c r="AK163" s="161">
        <f t="shared" si="102"/>
        <v>31.47703338522512</v>
      </c>
      <c r="AL163" s="161">
        <f t="shared" si="103"/>
        <v>13.76202694304961</v>
      </c>
      <c r="AN163" s="64" t="str">
        <f t="shared" si="104"/>
        <v>-0.0267356356797886+0.0179094222099i</v>
      </c>
      <c r="AO163" s="161">
        <f t="shared" si="105"/>
        <v>3.2179832490161361E-2</v>
      </c>
      <c r="AP163" s="161">
        <f t="shared" si="106"/>
        <v>-29.848324418405369</v>
      </c>
      <c r="AQ163" s="161">
        <f t="shared" si="107"/>
        <v>146.18302340368788</v>
      </c>
      <c r="AR163" s="64">
        <f t="shared" si="108"/>
        <v>-33.816976596312116</v>
      </c>
      <c r="AT163" s="135" t="str">
        <f t="shared" si="141"/>
        <v>-1808.36096497331i</v>
      </c>
      <c r="AU163" s="135" t="str">
        <f t="shared" si="142"/>
        <v>27456.1383070198-323.683238759253i</v>
      </c>
      <c r="AV163" s="135" t="str">
        <f t="shared" si="109"/>
        <v>118.391326066109-1799.16755482623i</v>
      </c>
      <c r="AW163" s="135" t="str">
        <f t="shared" si="143"/>
        <v>10000</v>
      </c>
      <c r="AX163" s="135" t="str">
        <f t="shared" si="144"/>
        <v>1789.92604368691-138.992650892094i</v>
      </c>
      <c r="AY163" s="135" t="str">
        <f t="shared" si="110"/>
        <v>1519.36125245994-99.979122550135i</v>
      </c>
      <c r="AZ163" s="135" t="str">
        <f t="shared" si="111"/>
        <v>0.155171643933115-1.17394966281606i</v>
      </c>
      <c r="BA163" s="182">
        <f t="shared" si="112"/>
        <v>1.1841604831722963</v>
      </c>
      <c r="BB163" s="182">
        <f t="shared" si="113"/>
        <v>1.4682112814055608</v>
      </c>
      <c r="BC163" s="182">
        <f t="shared" si="114"/>
        <v>-82.470342338887036</v>
      </c>
      <c r="BE163" s="135" t="str">
        <f t="shared" si="115"/>
        <v>0.000654117154682398+0.000778184386693366i</v>
      </c>
      <c r="BF163" s="161">
        <f t="shared" si="116"/>
        <v>1.016582604485797E-3</v>
      </c>
      <c r="BG163" s="161">
        <f t="shared" si="117"/>
        <v>-59.857146522224944</v>
      </c>
      <c r="BH163" s="161">
        <f t="shared" si="118"/>
        <v>49.950654121751121</v>
      </c>
      <c r="BI163" s="64">
        <f t="shared" si="119"/>
        <v>-130.04934587824889</v>
      </c>
      <c r="BV163" s="186">
        <v>2754228.7033381732</v>
      </c>
      <c r="BW163" s="64">
        <v>-45.256347861193134</v>
      </c>
      <c r="BX163" s="64">
        <v>-148.55398657843082</v>
      </c>
      <c r="CC163" s="186">
        <v>2754228.7033381732</v>
      </c>
      <c r="CD163" s="64">
        <v>-52.827713314893415</v>
      </c>
      <c r="CE163" s="64">
        <v>-148.27548854146727</v>
      </c>
      <c r="CJ163" s="64">
        <v>2754228.7033381732</v>
      </c>
      <c r="CK163" s="64">
        <v>-67.866763073784171</v>
      </c>
      <c r="CL163" s="64">
        <v>-163.36589826534225</v>
      </c>
      <c r="CQ163" s="186">
        <v>2754228.7033381732</v>
      </c>
      <c r="CR163" s="64">
        <v>-59.265019486377007</v>
      </c>
      <c r="CS163" s="64">
        <v>-132.24381065720891</v>
      </c>
      <c r="CX163" s="139">
        <v>2754228.7033381732</v>
      </c>
      <c r="CY163" s="64">
        <v>-54.127989774866407</v>
      </c>
      <c r="CZ163" s="64">
        <v>-147.33665661115583</v>
      </c>
    </row>
    <row r="164" spans="2:104">
      <c r="B164" s="135">
        <f t="shared" si="127"/>
        <v>6.48</v>
      </c>
      <c r="C164" s="139">
        <f t="shared" si="92"/>
        <v>3019951.7204020224</v>
      </c>
      <c r="D164" s="139">
        <f t="shared" si="93"/>
        <v>18974916.278021701</v>
      </c>
      <c r="E164" s="32" t="str">
        <f t="shared" si="94"/>
        <v>18974916.2780217i</v>
      </c>
      <c r="F164"/>
      <c r="G164" s="153" t="str">
        <f t="shared" si="129"/>
        <v>0.04+0.00749872823561868i</v>
      </c>
      <c r="H164" s="153" t="str">
        <f t="shared" si="130"/>
        <v>1+30.8127883919597i</v>
      </c>
      <c r="I164" t="str">
        <f t="shared" si="121"/>
        <v>0.00028519440370848-0.00128890657642184i</v>
      </c>
      <c r="J164"/>
      <c r="K164" t="str">
        <f t="shared" si="122"/>
        <v>0.04+0.00749872823561868i</v>
      </c>
      <c r="L164" t="str">
        <f t="shared" si="131"/>
        <v>5.43580907071529+167.492434635045i</v>
      </c>
      <c r="M164" t="str">
        <f t="shared" si="123"/>
        <v>0.0000524658611070297-0.000237114026569782i</v>
      </c>
      <c r="N164" s="153" t="str">
        <f t="shared" si="132"/>
        <v>0.0011+4.17448158116477i</v>
      </c>
      <c r="O164" s="135" t="str">
        <f t="shared" si="133"/>
        <v>0.000242+0.918385947856249i</v>
      </c>
      <c r="Q164" s="135" t="str">
        <f t="shared" si="134"/>
        <v>-18.9749162780217i</v>
      </c>
      <c r="R164" s="135" t="str">
        <f t="shared" si="135"/>
        <v>-145.921734296946</v>
      </c>
      <c r="S164" s="64" t="str">
        <f t="shared" si="124"/>
        <v>-144.921734296946-18.9749162780217i</v>
      </c>
      <c r="T164" s="135" t="str">
        <f t="shared" si="136"/>
        <v>-1.44921734296946-0.189749162780217i</v>
      </c>
      <c r="U164" s="64" t="str">
        <f t="shared" si="125"/>
        <v>-1.44892287710835+0.728399671049462i</v>
      </c>
      <c r="W164" s="64" t="str">
        <f t="shared" si="126"/>
        <v>-0.00051410373597232+0.00063111266907405i</v>
      </c>
      <c r="X164" s="172">
        <f t="shared" si="95"/>
        <v>8.1400605182422832E-4</v>
      </c>
      <c r="Y164" s="188">
        <f t="shared" si="96"/>
        <v>-61.787447325702516</v>
      </c>
      <c r="Z164" s="161">
        <f t="shared" si="97"/>
        <v>129.16622506821099</v>
      </c>
      <c r="AA164" s="161">
        <f t="shared" si="128"/>
        <v>-129.16622506821099</v>
      </c>
      <c r="AB164" s="199"/>
      <c r="AC164" s="64" t="str">
        <f t="shared" si="137"/>
        <v>-5270.11547955172i</v>
      </c>
      <c r="AD164" s="64" t="str">
        <f t="shared" si="138"/>
        <v>22000-527.011547955172i</v>
      </c>
      <c r="AE164" s="64" t="str">
        <f t="shared" si="98"/>
        <v>1180.49205933502-4959.04900578226i</v>
      </c>
      <c r="AF164" s="64" t="str">
        <f t="shared" si="139"/>
        <v>10000</v>
      </c>
      <c r="AG164" s="64" t="str">
        <f t="shared" si="140"/>
        <v>-135.131166142352i</v>
      </c>
      <c r="AH164" s="64" t="str">
        <f t="shared" si="99"/>
        <v>1.82570982379715-135.106495112599i</v>
      </c>
      <c r="AI164" s="64" t="str">
        <f t="shared" si="100"/>
        <v>36.8160896902303+8.23999291659483i</v>
      </c>
      <c r="AJ164" s="161">
        <f t="shared" si="101"/>
        <v>37.726939225765648</v>
      </c>
      <c r="AK164" s="161">
        <f t="shared" si="102"/>
        <v>31.533031449219596</v>
      </c>
      <c r="AL164" s="161">
        <f t="shared" si="103"/>
        <v>12.615742909275891</v>
      </c>
      <c r="AN164" s="64" t="str">
        <f t="shared" si="104"/>
        <v>-0.0241276531763828+0.018998889486464i</v>
      </c>
      <c r="AO164" s="161">
        <f t="shared" si="105"/>
        <v>3.0709956846578072E-2</v>
      </c>
      <c r="AP164" s="161">
        <f t="shared" si="106"/>
        <v>-30.254415876482931</v>
      </c>
      <c r="AQ164" s="161">
        <f t="shared" si="107"/>
        <v>141.78196797748686</v>
      </c>
      <c r="AR164" s="64">
        <f t="shared" si="108"/>
        <v>-38.218032022513142</v>
      </c>
      <c r="AT164" s="135" t="str">
        <f t="shared" si="141"/>
        <v>-1649.24480152378i</v>
      </c>
      <c r="AU164" s="135" t="str">
        <f t="shared" si="142"/>
        <v>27456.1383070198-295.202622266266i</v>
      </c>
      <c r="AV164" s="135" t="str">
        <f t="shared" si="109"/>
        <v>98.5730144089158-1642.2638473277i</v>
      </c>
      <c r="AW164" s="135" t="str">
        <f t="shared" si="143"/>
        <v>10000</v>
      </c>
      <c r="AX164" s="135" t="str">
        <f t="shared" si="144"/>
        <v>1789.92604368691-126.762804204402i</v>
      </c>
      <c r="AY164" s="135" t="str">
        <f t="shared" si="110"/>
        <v>1519.16298136685-91.1841752440926i</v>
      </c>
      <c r="AZ164" s="135" t="str">
        <f t="shared" si="111"/>
        <v>0.129306940376071-1.07327068959327i</v>
      </c>
      <c r="BA164" s="182">
        <f t="shared" si="112"/>
        <v>1.0810320337387944</v>
      </c>
      <c r="BB164" s="182">
        <f t="shared" si="113"/>
        <v>0.67677126796289411</v>
      </c>
      <c r="BC164" s="182">
        <f t="shared" si="114"/>
        <v>-83.130154043054617</v>
      </c>
      <c r="BE164" s="135" t="str">
        <f t="shared" si="115"/>
        <v>0.000610877548413667+0.00063337971950003i</v>
      </c>
      <c r="BF164" s="161">
        <f t="shared" si="116"/>
        <v>8.7996661767923256E-4</v>
      </c>
      <c r="BG164" s="161">
        <f t="shared" si="117"/>
        <v>-61.110676057739617</v>
      </c>
      <c r="BH164" s="161">
        <f t="shared" si="118"/>
        <v>46.036071025156396</v>
      </c>
      <c r="BI164" s="64">
        <f t="shared" si="119"/>
        <v>-133.96392897484361</v>
      </c>
      <c r="BV164" s="186">
        <v>3019951.7204020224</v>
      </c>
      <c r="BW164" s="64">
        <v>-45.831719046028439</v>
      </c>
      <c r="BX164" s="64">
        <v>-145.56891456216928</v>
      </c>
      <c r="CC164" s="186">
        <v>3019951.7204020224</v>
      </c>
      <c r="CD164" s="64">
        <v>-53.202833121825002</v>
      </c>
      <c r="CE164" s="64">
        <v>-144.70428751903881</v>
      </c>
      <c r="CJ164" s="64">
        <v>3019951.7204020224</v>
      </c>
      <c r="CK164" s="64">
        <v>-67.978143137038032</v>
      </c>
      <c r="CL164" s="64">
        <v>-160.15534297212113</v>
      </c>
      <c r="CQ164" s="186">
        <v>3019951.7204020224</v>
      </c>
      <c r="CR164" s="64">
        <v>-59.838918694645152</v>
      </c>
      <c r="CS164" s="64">
        <v>-129.20399239387399</v>
      </c>
      <c r="CX164" s="139">
        <v>3019951.7204020224</v>
      </c>
      <c r="CY164" s="64">
        <v>-54.497297631057478</v>
      </c>
      <c r="CZ164" s="64">
        <v>-143.70230865920797</v>
      </c>
    </row>
    <row r="165" spans="2:104">
      <c r="B165" s="135">
        <f t="shared" si="127"/>
        <v>6.5200000000000005</v>
      </c>
      <c r="C165" s="139">
        <f t="shared" si="92"/>
        <v>3311311.2148259166</v>
      </c>
      <c r="D165" s="139">
        <f t="shared" si="93"/>
        <v>20805581.972493187</v>
      </c>
      <c r="E165" s="32" t="str">
        <f t="shared" si="94"/>
        <v>20805581.9724932i</v>
      </c>
      <c r="F165"/>
      <c r="G165" s="153" t="str">
        <f t="shared" si="129"/>
        <v>0.04+0.00671930714279912i</v>
      </c>
      <c r="H165" s="153" t="str">
        <f t="shared" si="130"/>
        <v>1+27.5507912451577i</v>
      </c>
      <c r="I165" t="str">
        <f t="shared" si="121"/>
        <v>0.000296195492518625-0.0014411130393382i</v>
      </c>
      <c r="J165"/>
      <c r="K165" t="str">
        <f t="shared" si="122"/>
        <v>0.04+0.00671930714279912i</v>
      </c>
      <c r="L165" t="str">
        <f t="shared" si="131"/>
        <v>5.43580907071529+149.760840955812i</v>
      </c>
      <c r="M165" t="str">
        <f t="shared" si="123"/>
        <v>0.0000544896792115711-0.000265114727281722i</v>
      </c>
      <c r="N165" s="153" t="str">
        <f t="shared" si="132"/>
        <v>0.0011+4.5772280339485i</v>
      </c>
      <c r="O165" s="135" t="str">
        <f t="shared" si="133"/>
        <v>0.000242+1.00699016746867i</v>
      </c>
      <c r="Q165" s="135" t="str">
        <f t="shared" si="134"/>
        <v>-20.8055819724932i</v>
      </c>
      <c r="R165" s="135" t="str">
        <f t="shared" si="135"/>
        <v>-175.43651138291</v>
      </c>
      <c r="S165" s="64" t="str">
        <f t="shared" si="124"/>
        <v>-174.43651138291-20.8055819724932i</v>
      </c>
      <c r="T165" s="135" t="str">
        <f t="shared" si="136"/>
        <v>-1.7443651138291-0.208055819724932i</v>
      </c>
      <c r="U165" s="64" t="str">
        <f t="shared" si="125"/>
        <v>-1.74406862414989+0.798669233016456i</v>
      </c>
      <c r="W165" s="64" t="str">
        <f t="shared" si="126"/>
        <v>-0.000453184095854469+0.000618765127784392i</v>
      </c>
      <c r="X165" s="172">
        <f t="shared" si="95"/>
        <v>7.6697203866729548E-4</v>
      </c>
      <c r="Y165" s="188">
        <f t="shared" si="96"/>
        <v>-62.304409374836631</v>
      </c>
      <c r="Z165" s="161">
        <f t="shared" si="97"/>
        <v>126.21907847637479</v>
      </c>
      <c r="AA165" s="161">
        <f t="shared" si="128"/>
        <v>-126.21907847637479</v>
      </c>
      <c r="AB165" s="199"/>
      <c r="AC165" s="64" t="str">
        <f t="shared" si="137"/>
        <v>-4806.40244200854i</v>
      </c>
      <c r="AD165" s="64" t="str">
        <f t="shared" si="138"/>
        <v>22000-480.640244200853i</v>
      </c>
      <c r="AE165" s="64" t="str">
        <f t="shared" si="98"/>
        <v>992.734246872324-4567.82842658691i</v>
      </c>
      <c r="AF165" s="64" t="str">
        <f t="shared" si="139"/>
        <v>10000</v>
      </c>
      <c r="AG165" s="64" t="str">
        <f t="shared" si="140"/>
        <v>-123.241088256629i</v>
      </c>
      <c r="AH165" s="64" t="str">
        <f t="shared" si="99"/>
        <v>1.51860593204328-123.222372791859i</v>
      </c>
      <c r="AI165" s="64" t="str">
        <f t="shared" si="100"/>
        <v>37.1634416432863+7.59843851992066i</v>
      </c>
      <c r="AJ165" s="161">
        <f t="shared" si="101"/>
        <v>37.932277320442545</v>
      </c>
      <c r="AK165" s="161">
        <f t="shared" si="102"/>
        <v>31.580178339957342</v>
      </c>
      <c r="AL165" s="161">
        <f t="shared" si="103"/>
        <v>11.555432992061947</v>
      </c>
      <c r="AN165" s="64" t="str">
        <f t="shared" si="104"/>
        <v>-0.0215435294816936+0.0195519502267598i</v>
      </c>
      <c r="AO165" s="161">
        <f t="shared" si="105"/>
        <v>2.9092996067753042E-2</v>
      </c>
      <c r="AP165" s="161">
        <f t="shared" si="106"/>
        <v>-30.724231034879285</v>
      </c>
      <c r="AQ165" s="161">
        <f t="shared" si="107"/>
        <v>137.7745114684368</v>
      </c>
      <c r="AR165" s="64">
        <f t="shared" si="108"/>
        <v>-42.225488531563201</v>
      </c>
      <c r="AT165" s="135" t="str">
        <f t="shared" si="141"/>
        <v>-1504.12913574107i</v>
      </c>
      <c r="AU165" s="135" t="str">
        <f t="shared" si="142"/>
        <v>27456.1383070198-269.227991313122i</v>
      </c>
      <c r="AV165" s="135" t="str">
        <f t="shared" si="109"/>
        <v>82.0583564608429-1498.82909064234i</v>
      </c>
      <c r="AW165" s="135" t="str">
        <f t="shared" si="143"/>
        <v>10000</v>
      </c>
      <c r="AX165" s="135" t="str">
        <f t="shared" si="144"/>
        <v>1789.92604368691-115.609051461565i</v>
      </c>
      <c r="AY165" s="135" t="str">
        <f t="shared" si="110"/>
        <v>1518.99805959211-83.162573381812i</v>
      </c>
      <c r="AZ165" s="135" t="str">
        <f t="shared" si="111"/>
        <v>0.10771986327144-0.980824708892926i</v>
      </c>
      <c r="BA165" s="182">
        <f t="shared" si="112"/>
        <v>0.9867221891282828</v>
      </c>
      <c r="BB165" s="182">
        <f t="shared" si="113"/>
        <v>-0.11610210793870035</v>
      </c>
      <c r="BC165" s="182">
        <f t="shared" si="114"/>
        <v>-83.73256301030942</v>
      </c>
      <c r="BE165" s="135" t="str">
        <f t="shared" si="115"/>
        <v>0.000558083197489986+0.000511147453853433i</v>
      </c>
      <c r="BF165" s="161">
        <f t="shared" si="116"/>
        <v>7.5678832899397572E-4</v>
      </c>
      <c r="BG165" s="161">
        <f t="shared" si="117"/>
        <v>-62.420511482775332</v>
      </c>
      <c r="BH165" s="161">
        <f t="shared" si="118"/>
        <v>42.486515466065356</v>
      </c>
      <c r="BI165" s="64">
        <f t="shared" si="119"/>
        <v>-137.51348453393464</v>
      </c>
      <c r="BV165" s="186">
        <v>3311311.2148259166</v>
      </c>
      <c r="BW165" s="64">
        <v>-46.435276371233343</v>
      </c>
      <c r="BX165" s="64">
        <v>-142.72941926257121</v>
      </c>
      <c r="CC165" s="186">
        <v>3311311.2148259166</v>
      </c>
      <c r="CD165" s="64">
        <v>-53.62547388408332</v>
      </c>
      <c r="CE165" s="64">
        <v>-141.30729537724167</v>
      </c>
      <c r="CJ165" s="64">
        <v>3311311.2148259166</v>
      </c>
      <c r="CK165" s="64">
        <v>-68.130304682998101</v>
      </c>
      <c r="CL165" s="64">
        <v>-156.96034033276703</v>
      </c>
      <c r="CQ165" s="186">
        <v>3311311.2148259166</v>
      </c>
      <c r="CR165" s="64">
        <v>-60.446919589903118</v>
      </c>
      <c r="CS165" s="64">
        <v>-126.41991028327988</v>
      </c>
      <c r="CX165" s="139">
        <v>3311311.2148259166</v>
      </c>
      <c r="CY165" s="64">
        <v>-54.915819120237465</v>
      </c>
      <c r="CZ165" s="64">
        <v>-140.25208849610326</v>
      </c>
    </row>
    <row r="166" spans="2:104">
      <c r="B166" s="135">
        <f t="shared" si="127"/>
        <v>6.5600000000000005</v>
      </c>
      <c r="C166" s="139">
        <f t="shared" si="92"/>
        <v>3630780.5477010245</v>
      </c>
      <c r="D166" s="139">
        <f t="shared" si="93"/>
        <v>22812866.990908526</v>
      </c>
      <c r="E166" s="32" t="str">
        <f t="shared" si="94"/>
        <v>22812866.9909085i</v>
      </c>
      <c r="F166"/>
      <c r="G166" s="153" t="str">
        <f t="shared" si="129"/>
        <v>0.04+0.00604158028674368i</v>
      </c>
      <c r="H166" s="153" t="str">
        <f t="shared" si="130"/>
        <v>1+24.7252144743859i</v>
      </c>
      <c r="I166" t="str">
        <f t="shared" si="121"/>
        <v>0.000309273498491483-0.0016052732947019i</v>
      </c>
      <c r="J166"/>
      <c r="K166" t="str">
        <f t="shared" si="122"/>
        <v>0.04+0.00604158028674368i</v>
      </c>
      <c r="L166" t="str">
        <f t="shared" si="131"/>
        <v>5.43580907071529+134.401545115248i</v>
      </c>
      <c r="M166" t="str">
        <f t="shared" si="123"/>
        <v>0.0000568955779108676-0.000295314510465442i</v>
      </c>
      <c r="N166" s="153" t="str">
        <f t="shared" si="132"/>
        <v>0.0011+5.01883073799987i</v>
      </c>
      <c r="O166" s="135" t="str">
        <f t="shared" si="133"/>
        <v>0.000242+1.10414276235997i</v>
      </c>
      <c r="Q166" s="135" t="str">
        <f t="shared" si="134"/>
        <v>-22.8128669909085i</v>
      </c>
      <c r="R166" s="135" t="str">
        <f t="shared" si="135"/>
        <v>-210.921078169026</v>
      </c>
      <c r="S166" s="64" t="str">
        <f t="shared" si="124"/>
        <v>-209.921078169026-22.8128669909085i</v>
      </c>
      <c r="T166" s="135" t="str">
        <f t="shared" si="136"/>
        <v>-2.09921078169026-0.228128669909085i</v>
      </c>
      <c r="U166" s="64" t="str">
        <f t="shared" si="125"/>
        <v>-2.09891188611235+0.87571877794042i</v>
      </c>
      <c r="W166" s="64" t="str">
        <f t="shared" si="126"/>
        <v>-0.00039728941393943+0.000599053015497046i</v>
      </c>
      <c r="X166" s="172">
        <f t="shared" si="95"/>
        <v>7.1882083567773676E-4</v>
      </c>
      <c r="Y166" s="188">
        <f t="shared" si="96"/>
        <v>-62.867586859176619</v>
      </c>
      <c r="Z166" s="161">
        <f t="shared" si="97"/>
        <v>123.55216843259393</v>
      </c>
      <c r="AA166" s="161">
        <f t="shared" si="128"/>
        <v>-123.55216843259393</v>
      </c>
      <c r="AB166" s="199"/>
      <c r="AC166" s="64" t="str">
        <f t="shared" si="137"/>
        <v>-4383.49112541849i</v>
      </c>
      <c r="AD166" s="64" t="str">
        <f t="shared" si="138"/>
        <v>22000-438.349112541849i</v>
      </c>
      <c r="AE166" s="64" t="str">
        <f t="shared" si="98"/>
        <v>833.37557105826-4200.83640442477i</v>
      </c>
      <c r="AF166" s="64" t="str">
        <f t="shared" si="139"/>
        <v>10000</v>
      </c>
      <c r="AG166" s="64" t="str">
        <f t="shared" si="140"/>
        <v>-112.397208344064i</v>
      </c>
      <c r="AH166" s="64" t="str">
        <f t="shared" si="99"/>
        <v>1.26315366847799-112.383010849459i</v>
      </c>
      <c r="AI166" s="64" t="str">
        <f t="shared" si="100"/>
        <v>37.4582551935423+6.9944739214071i</v>
      </c>
      <c r="AJ166" s="161">
        <f t="shared" si="101"/>
        <v>38.105689176050639</v>
      </c>
      <c r="AK166" s="161">
        <f t="shared" si="102"/>
        <v>31.619796412889151</v>
      </c>
      <c r="AL166" s="161">
        <f t="shared" si="103"/>
        <v>10.576873148952597</v>
      </c>
      <c r="AN166" s="64" t="str">
        <f t="shared" si="104"/>
        <v>-0.0190718289474704+0.0196606502838989i</v>
      </c>
      <c r="AO166" s="161">
        <f t="shared" si="105"/>
        <v>2.739116333760477E-2</v>
      </c>
      <c r="AP166" s="161">
        <f t="shared" si="106"/>
        <v>-31.247790446287485</v>
      </c>
      <c r="AQ166" s="161">
        <f t="shared" si="107"/>
        <v>134.12904158154657</v>
      </c>
      <c r="AR166" s="64">
        <f t="shared" si="108"/>
        <v>-45.870958418453426</v>
      </c>
      <c r="AT166" s="135" t="str">
        <f t="shared" si="141"/>
        <v>-1371.78207558689i</v>
      </c>
      <c r="AU166" s="135" t="str">
        <f t="shared" si="142"/>
        <v>27456.1383070198-245.538846335586i</v>
      </c>
      <c r="AV166" s="135" t="str">
        <f t="shared" si="109"/>
        <v>68.3009046224716-1367.75876827408i</v>
      </c>
      <c r="AW166" s="135" t="str">
        <f t="shared" si="143"/>
        <v>10000</v>
      </c>
      <c r="AX166" s="135" t="str">
        <f t="shared" si="144"/>
        <v>1789.92604368691-105.436708060602i</v>
      </c>
      <c r="AY166" s="135" t="str">
        <f t="shared" si="110"/>
        <v>1518.86087874836-75.8463951542415i</v>
      </c>
      <c r="AZ166" s="135" t="str">
        <f t="shared" si="111"/>
        <v>0.0897132993654054-0.896036205133768i</v>
      </c>
      <c r="BA166" s="182">
        <f t="shared" si="112"/>
        <v>0.90051616142829494</v>
      </c>
      <c r="BB166" s="182">
        <f t="shared" si="113"/>
        <v>-0.91016977113337838</v>
      </c>
      <c r="BC166" s="182">
        <f t="shared" si="114"/>
        <v>-84.282463124411123</v>
      </c>
      <c r="BE166" s="135" t="str">
        <f t="shared" si="115"/>
        <v>0.000501131046552459+0.000409728721321141i</v>
      </c>
      <c r="BF166" s="161">
        <f t="shared" si="116"/>
        <v>6.4730977969919474E-4</v>
      </c>
      <c r="BG166" s="161">
        <f t="shared" si="117"/>
        <v>-63.777756630310009</v>
      </c>
      <c r="BH166" s="161">
        <f t="shared" si="118"/>
        <v>39.269705308182814</v>
      </c>
      <c r="BI166" s="64">
        <f t="shared" si="119"/>
        <v>-140.73029469181719</v>
      </c>
      <c r="BV166" s="186">
        <v>3630780.5477010245</v>
      </c>
      <c r="BW166" s="64">
        <v>-47.065379903973977</v>
      </c>
      <c r="BX166" s="64">
        <v>-140.06236081677878</v>
      </c>
      <c r="CC166" s="186">
        <v>3630780.5477010245</v>
      </c>
      <c r="CD166" s="64">
        <v>-54.092490923810416</v>
      </c>
      <c r="CE166" s="64">
        <v>-138.09142848128985</v>
      </c>
      <c r="CJ166" s="64">
        <v>3630780.5477010245</v>
      </c>
      <c r="CK166" s="64">
        <v>-68.323482599957643</v>
      </c>
      <c r="CL166" s="64">
        <v>-153.77664529534431</v>
      </c>
      <c r="CQ166" s="186">
        <v>3630780.5477010245</v>
      </c>
      <c r="CR166" s="64">
        <v>-61.08453767396022</v>
      </c>
      <c r="CS166" s="64">
        <v>-123.88113984276009</v>
      </c>
      <c r="CX166" s="139">
        <v>3630780.5477010245</v>
      </c>
      <c r="CY166" s="64">
        <v>-55.380022971350201</v>
      </c>
      <c r="CZ166" s="64">
        <v>-136.99018624223416</v>
      </c>
    </row>
    <row r="167" spans="2:104">
      <c r="B167" s="135">
        <f t="shared" si="127"/>
        <v>6.6000000000000005</v>
      </c>
      <c r="C167" s="139">
        <f t="shared" si="92"/>
        <v>3981071.705534983</v>
      </c>
      <c r="D167" s="139">
        <f t="shared" si="93"/>
        <v>25013811.247045781</v>
      </c>
      <c r="E167" s="32" t="str">
        <f t="shared" si="94"/>
        <v>25013811.2470458i</v>
      </c>
      <c r="F167"/>
      <c r="G167" s="153" t="str">
        <f t="shared" si="129"/>
        <v>0.04+0.00544692062369948i</v>
      </c>
      <c r="H167" s="153" t="str">
        <f t="shared" si="130"/>
        <v>1+22.2550120667375i</v>
      </c>
      <c r="I167" t="str">
        <f t="shared" si="121"/>
        <v>0.000324855882423497-0.0017827509595861i</v>
      </c>
      <c r="J167"/>
      <c r="K167" t="str">
        <f t="shared" si="122"/>
        <v>0.04+0.00544692062369948i</v>
      </c>
      <c r="L167" t="str">
        <f t="shared" si="131"/>
        <v>5.43580907071529+120.97399646125i</v>
      </c>
      <c r="M167" t="str">
        <f t="shared" si="123"/>
        <v>0.0000597621951391956-0.000327964234283069i</v>
      </c>
      <c r="N167" s="153" t="str">
        <f t="shared" si="132"/>
        <v>0.0011+5.50303847435008i</v>
      </c>
      <c r="O167" s="135" t="str">
        <f t="shared" si="133"/>
        <v>0.000242+1.21066846435702i</v>
      </c>
      <c r="Q167" s="135" t="str">
        <f t="shared" si="134"/>
        <v>-25.0138112470458i</v>
      </c>
      <c r="R167" s="135" t="str">
        <f t="shared" si="135"/>
        <v>-253.58291079378</v>
      </c>
      <c r="S167" s="64" t="str">
        <f t="shared" si="124"/>
        <v>-252.58291079378-25.0138112470458i</v>
      </c>
      <c r="T167" s="135" t="str">
        <f t="shared" si="136"/>
        <v>-2.5258291079378-0.250138112470458i</v>
      </c>
      <c r="U167" s="64" t="str">
        <f t="shared" si="125"/>
        <v>-2.52552734574266+0.960202387652279i</v>
      </c>
      <c r="W167" s="64" t="str">
        <f t="shared" si="126"/>
        <v>-0.000346868227424293+0.00057401368544132i</v>
      </c>
      <c r="X167" s="172">
        <f t="shared" si="95"/>
        <v>6.7067822260037473E-4</v>
      </c>
      <c r="Y167" s="188">
        <f t="shared" si="96"/>
        <v>-63.46971590563178</v>
      </c>
      <c r="Z167" s="161">
        <f t="shared" si="97"/>
        <v>121.14396601870813</v>
      </c>
      <c r="AA167" s="161">
        <f t="shared" si="128"/>
        <v>-121.14396601870813</v>
      </c>
      <c r="AB167" s="199"/>
      <c r="AC167" s="64" t="str">
        <f t="shared" si="137"/>
        <v>-3997.7914206021i</v>
      </c>
      <c r="AD167" s="64" t="str">
        <f t="shared" si="138"/>
        <v>22000-399.77914206021i</v>
      </c>
      <c r="AE167" s="64" t="str">
        <f t="shared" si="98"/>
        <v>698.558343388074-3858.15689300276i</v>
      </c>
      <c r="AF167" s="64" t="str">
        <f t="shared" si="139"/>
        <v>10000</v>
      </c>
      <c r="AG167" s="64" t="str">
        <f t="shared" si="140"/>
        <v>-102.507472323131i</v>
      </c>
      <c r="AH167" s="64" t="str">
        <f t="shared" si="99"/>
        <v>1.05066778632845-102.496702193228i</v>
      </c>
      <c r="AI167" s="64" t="str">
        <f t="shared" si="100"/>
        <v>37.7076670647321+6.42889086385745i</v>
      </c>
      <c r="AJ167" s="161">
        <f t="shared" si="101"/>
        <v>38.2517815690207</v>
      </c>
      <c r="AK167" s="161">
        <f t="shared" si="102"/>
        <v>31.653033342773895</v>
      </c>
      <c r="AL167" s="161">
        <f t="shared" si="103"/>
        <v>9.675492924683347</v>
      </c>
      <c r="AN167" s="64" t="str">
        <f t="shared" si="104"/>
        <v>-0.0167698629731119+0.0194147389629707i</v>
      </c>
      <c r="AO167" s="161">
        <f t="shared" si="105"/>
        <v>2.5654636874008607E-2</v>
      </c>
      <c r="AP167" s="161">
        <f t="shared" si="106"/>
        <v>-31.816682562857871</v>
      </c>
      <c r="AQ167" s="161">
        <f t="shared" si="107"/>
        <v>130.81945894339148</v>
      </c>
      <c r="AR167" s="64">
        <f t="shared" si="108"/>
        <v>-49.180541056608519</v>
      </c>
      <c r="AT167" s="135" t="str">
        <f t="shared" si="141"/>
        <v>-1251.08012216939i</v>
      </c>
      <c r="AU167" s="135" t="str">
        <f t="shared" si="142"/>
        <v>27456.1383070198-223.934089341i</v>
      </c>
      <c r="AV167" s="135" t="str">
        <f t="shared" si="109"/>
        <v>56.8432859935735-1248.02635496688i</v>
      </c>
      <c r="AW167" s="135" t="str">
        <f t="shared" si="143"/>
        <v>10000</v>
      </c>
      <c r="AX167" s="135" t="str">
        <f t="shared" si="144"/>
        <v>1789.92604368691-96.1594206172741i</v>
      </c>
      <c r="AY167" s="135" t="str">
        <f t="shared" si="110"/>
        <v>1518.74677331167-69.1736651582676i</v>
      </c>
      <c r="AZ167" s="135" t="str">
        <f t="shared" si="111"/>
        <v>0.0747005497143018-0.818345142188329i</v>
      </c>
      <c r="BA167" s="182">
        <f t="shared" si="112"/>
        <v>0.82174749398513858</v>
      </c>
      <c r="BB167" s="182">
        <f t="shared" si="113"/>
        <v>-1.7052322335202597</v>
      </c>
      <c r="BC167" s="182">
        <f t="shared" si="114"/>
        <v>-84.78435523755121</v>
      </c>
      <c r="BE167" s="135" t="str">
        <f t="shared" si="115"/>
        <v>0.000443830063763504+0.000326737066738146i</v>
      </c>
      <c r="BF167" s="161">
        <f t="shared" si="116"/>
        <v>5.5112814869226533E-4</v>
      </c>
      <c r="BG167" s="161">
        <f t="shared" si="117"/>
        <v>-65.174948139152036</v>
      </c>
      <c r="BH167" s="161">
        <f t="shared" si="118"/>
        <v>36.359610781156924</v>
      </c>
      <c r="BI167" s="64">
        <f t="shared" si="119"/>
        <v>-143.64038921884307</v>
      </c>
      <c r="BV167" s="186">
        <v>3981071.705534983</v>
      </c>
      <c r="BW167" s="64">
        <v>-47.720395566813082</v>
      </c>
      <c r="BX167" s="64">
        <v>-137.59062122300534</v>
      </c>
      <c r="CC167" s="186">
        <v>3981071.705534983</v>
      </c>
      <c r="CD167" s="64">
        <v>-54.600622219405523</v>
      </c>
      <c r="CE167" s="64">
        <v>-135.0644244840058</v>
      </c>
      <c r="CJ167" s="64">
        <v>3981071.705534983</v>
      </c>
      <c r="CK167" s="64">
        <v>-68.558054954991746</v>
      </c>
      <c r="CL167" s="64">
        <v>-150.60617954077424</v>
      </c>
      <c r="CQ167" s="186">
        <v>3981071.705534983</v>
      </c>
      <c r="CR167" s="64">
        <v>-61.747785424315055</v>
      </c>
      <c r="CS167" s="64">
        <v>-121.57783609035494</v>
      </c>
      <c r="CX167" s="139">
        <v>3981071.705534983</v>
      </c>
      <c r="CY167" s="64">
        <v>-55.886295300049355</v>
      </c>
      <c r="CZ167" s="64">
        <v>-133.92183661982648</v>
      </c>
    </row>
    <row r="168" spans="2:104">
      <c r="B168" s="135">
        <f t="shared" si="127"/>
        <v>6.6400000000000006</v>
      </c>
      <c r="C168" s="139">
        <f t="shared" si="92"/>
        <v>4365158.3224016698</v>
      </c>
      <c r="D168" s="139">
        <f t="shared" si="93"/>
        <v>27427098.634826861</v>
      </c>
      <c r="E168" s="32" t="str">
        <f t="shared" si="94"/>
        <v>27427098.6348269i</v>
      </c>
      <c r="F168"/>
      <c r="G168" s="153" t="str">
        <f t="shared" si="129"/>
        <v>0.04+0.00492136046863448i</v>
      </c>
      <c r="H168" s="153" t="str">
        <f t="shared" si="130"/>
        <v>1+20.0792545485847i</v>
      </c>
      <c r="I168" t="str">
        <f t="shared" si="121"/>
        <v>0.000343457034748551-0.00197500075858377i</v>
      </c>
      <c r="J168"/>
      <c r="K168" t="str">
        <f t="shared" si="122"/>
        <v>0.04+0.00492136046863448i</v>
      </c>
      <c r="L168" t="str">
        <f t="shared" si="131"/>
        <v>5.43580907071529+109.146994008398i</v>
      </c>
      <c r="M168" t="str">
        <f t="shared" si="123"/>
        <v>0.0000631841608637214-0.000363331517514813i</v>
      </c>
      <c r="N168" s="153" t="str">
        <f t="shared" si="132"/>
        <v>0.0011+6.03396169966192i</v>
      </c>
      <c r="O168" s="135" t="str">
        <f t="shared" si="133"/>
        <v>0.000242+1.32747157392562i</v>
      </c>
      <c r="Q168" s="135" t="str">
        <f t="shared" si="134"/>
        <v>-27.4270986348269i</v>
      </c>
      <c r="R168" s="135" t="str">
        <f t="shared" si="135"/>
        <v>-304.873714874122</v>
      </c>
      <c r="S168" s="64" t="str">
        <f t="shared" si="124"/>
        <v>-303.873714874122-27.4270986348269i</v>
      </c>
      <c r="T168" s="135" t="str">
        <f t="shared" si="136"/>
        <v>-3.03873714874122-0.274270986348269i</v>
      </c>
      <c r="U168" s="64" t="str">
        <f t="shared" si="125"/>
        <v>-3.03843196458036+1.05283725605984i</v>
      </c>
      <c r="W168" s="64" t="str">
        <f t="shared" si="126"/>
        <v>-0.000302008086109765+0.000545358728848462i</v>
      </c>
      <c r="X168" s="172">
        <f t="shared" si="95"/>
        <v>6.233979685617315E-4</v>
      </c>
      <c r="Y168" s="188">
        <f t="shared" si="96"/>
        <v>-64.104692345446267</v>
      </c>
      <c r="Z168" s="161">
        <f t="shared" si="97"/>
        <v>118.97675309357572</v>
      </c>
      <c r="AA168" s="161">
        <f t="shared" si="128"/>
        <v>-118.97675309357572</v>
      </c>
      <c r="AB168" s="199"/>
      <c r="AC168" s="64" t="str">
        <f t="shared" si="137"/>
        <v>-3646.02910907318i</v>
      </c>
      <c r="AD168" s="64" t="str">
        <f t="shared" si="138"/>
        <v>22000-364.602910907318i</v>
      </c>
      <c r="AE168" s="64" t="str">
        <f t="shared" si="98"/>
        <v>584.815627067345-3539.41636908676i</v>
      </c>
      <c r="AF168" s="64" t="str">
        <f t="shared" si="139"/>
        <v>10000</v>
      </c>
      <c r="AG168" s="64" t="str">
        <f t="shared" si="140"/>
        <v>-93.4879258736713i</v>
      </c>
      <c r="AH168" s="64" t="str">
        <f t="shared" si="99"/>
        <v>0.873922847626654-93.4797557502315i</v>
      </c>
      <c r="AI168" s="64" t="str">
        <f t="shared" si="100"/>
        <v>37.9180910899254+5.90157875892936i</v>
      </c>
      <c r="AJ168" s="161">
        <f t="shared" si="101"/>
        <v>38.374604411664315</v>
      </c>
      <c r="AK168" s="161">
        <f t="shared" si="102"/>
        <v>31.680878230829649</v>
      </c>
      <c r="AL168" s="161">
        <f t="shared" si="103"/>
        <v>8.8465489188405559</v>
      </c>
      <c r="AN168" s="64" t="str">
        <f t="shared" si="104"/>
        <v>-0.0146700476091729+0.0188966374511516i</v>
      </c>
      <c r="AO168" s="161">
        <f t="shared" si="105"/>
        <v>2.3922650434591582E-2</v>
      </c>
      <c r="AP168" s="161">
        <f t="shared" si="106"/>
        <v>-32.423814114616619</v>
      </c>
      <c r="AQ168" s="161">
        <f t="shared" si="107"/>
        <v>127.82330201241631</v>
      </c>
      <c r="AR168" s="64">
        <f t="shared" si="108"/>
        <v>-52.176697987583694</v>
      </c>
      <c r="AT168" s="135" t="str">
        <f t="shared" si="141"/>
        <v>-1140.9986323212i</v>
      </c>
      <c r="AU168" s="135" t="str">
        <f t="shared" si="142"/>
        <v>27456.1383070198-204.230316780287i</v>
      </c>
      <c r="AV168" s="135" t="str">
        <f t="shared" si="109"/>
        <v>47.3030877874647-1138.68099091213i</v>
      </c>
      <c r="AW168" s="135" t="str">
        <f t="shared" si="143"/>
        <v>10000</v>
      </c>
      <c r="AX168" s="135" t="str">
        <f t="shared" si="144"/>
        <v>1789.92604368691-87.6984339091381i</v>
      </c>
      <c r="AY168" s="135" t="str">
        <f t="shared" si="110"/>
        <v>1518.65186220433-63.0878384110937i</v>
      </c>
      <c r="AZ168" s="135" t="str">
        <f t="shared" si="111"/>
        <v>0.062188835854528-0.747213801876659i</v>
      </c>
      <c r="BA168" s="182">
        <f t="shared" si="112"/>
        <v>0.74979725060839775</v>
      </c>
      <c r="BB168" s="182">
        <f t="shared" si="113"/>
        <v>-2.5011231280570505</v>
      </c>
      <c r="BC168" s="182">
        <f t="shared" si="114"/>
        <v>-85.242372794876701</v>
      </c>
      <c r="BE168" s="135" t="str">
        <f t="shared" si="115"/>
        <v>0.000388718037875661+0.000259579834689762i</v>
      </c>
      <c r="BF168" s="161">
        <f t="shared" si="116"/>
        <v>4.6742208286244667E-4</v>
      </c>
      <c r="BG168" s="161">
        <f t="shared" si="117"/>
        <v>-66.605815473503313</v>
      </c>
      <c r="BH168" s="161">
        <f t="shared" si="118"/>
        <v>33.734380298699016</v>
      </c>
      <c r="BI168" s="64">
        <f t="shared" si="119"/>
        <v>-146.26561970130098</v>
      </c>
      <c r="BV168" s="186">
        <v>4365158.3224016698</v>
      </c>
      <c r="BW168" s="64">
        <v>-48.398725740273598</v>
      </c>
      <c r="BX168" s="64">
        <v>-135.33292680433544</v>
      </c>
      <c r="CC168" s="186">
        <v>4365158.3224016698</v>
      </c>
      <c r="CD168" s="64">
        <v>-55.146522435542053</v>
      </c>
      <c r="CE168" s="64">
        <v>-132.23364819977533</v>
      </c>
      <c r="CJ168" s="64">
        <v>4365158.3224016698</v>
      </c>
      <c r="CK168" s="64">
        <v>-68.834363867533256</v>
      </c>
      <c r="CL168" s="64">
        <v>-147.45607816589367</v>
      </c>
      <c r="CQ168" s="186">
        <v>4365158.3224016698</v>
      </c>
      <c r="CR168" s="64">
        <v>-62.433150978719418</v>
      </c>
      <c r="CS168" s="64">
        <v>-119.50048831514603</v>
      </c>
      <c r="CX168" s="139">
        <v>4365158.3224016698</v>
      </c>
      <c r="CY168" s="64">
        <v>-56.430980626322139</v>
      </c>
      <c r="CZ168" s="64">
        <v>-131.05210456667709</v>
      </c>
    </row>
    <row r="169" spans="2:104">
      <c r="B169" s="135">
        <f t="shared" si="127"/>
        <v>6.6800000000000006</v>
      </c>
      <c r="C169" s="139">
        <f t="shared" si="92"/>
        <v>4786300.9232264012</v>
      </c>
      <c r="D169" s="139">
        <f t="shared" si="93"/>
        <v>30073215.636556212</v>
      </c>
      <c r="E169" s="32" t="str">
        <f t="shared" si="94"/>
        <v>30073215.6365562i</v>
      </c>
      <c r="F169"/>
      <c r="G169" s="153" t="str">
        <f t="shared" si="129"/>
        <v>0.04+0.0044541681050784i</v>
      </c>
      <c r="H169" s="153" t="str">
        <f t="shared" si="130"/>
        <v>1+18.1510965219357i</v>
      </c>
      <c r="I169" t="str">
        <f t="shared" si="121"/>
        <v>0.000365693857939387-0.00218357640785846i</v>
      </c>
      <c r="J169"/>
      <c r="K169" t="str">
        <f t="shared" si="122"/>
        <v>0.04+0.0044541681050784i</v>
      </c>
      <c r="L169" t="str">
        <f t="shared" si="131"/>
        <v>5.43580907071529+98.6658951173667i</v>
      </c>
      <c r="M169" t="str">
        <f t="shared" si="123"/>
        <v>0.0000672749637049461-0.000401702189950379i</v>
      </c>
      <c r="N169" s="153" t="str">
        <f t="shared" si="132"/>
        <v>0.0011+6.61610744004236i</v>
      </c>
      <c r="O169" s="135" t="str">
        <f t="shared" si="133"/>
        <v>0.000242+1.45554363680932i</v>
      </c>
      <c r="Q169" s="135" t="str">
        <f t="shared" si="134"/>
        <v>-30.0732156365562i</v>
      </c>
      <c r="R169" s="135" t="str">
        <f t="shared" si="135"/>
        <v>-366.538824442846</v>
      </c>
      <c r="S169" s="64" t="str">
        <f t="shared" si="124"/>
        <v>-365.538824442846-30.0732156365562i</v>
      </c>
      <c r="T169" s="135" t="str">
        <f t="shared" si="136"/>
        <v>-3.65538824442846-0.300732156365562i</v>
      </c>
      <c r="U169" s="64" t="str">
        <f t="shared" si="125"/>
        <v>-3.65507896946476+1.15440977825381i</v>
      </c>
      <c r="W169" s="64" t="str">
        <f t="shared" si="126"/>
        <v>-0.000262545093887579+0.000514487320233589i</v>
      </c>
      <c r="X169" s="172">
        <f t="shared" si="95"/>
        <v>5.7760464766618458E-4</v>
      </c>
      <c r="Y169" s="188">
        <f t="shared" si="96"/>
        <v>-64.7673864179215</v>
      </c>
      <c r="Z169" s="161">
        <f t="shared" si="97"/>
        <v>117.03541635792037</v>
      </c>
      <c r="AA169" s="161">
        <f t="shared" si="128"/>
        <v>-117.03541635792037</v>
      </c>
      <c r="AB169" s="199"/>
      <c r="AC169" s="64" t="str">
        <f t="shared" si="137"/>
        <v>-3325.21806808191i</v>
      </c>
      <c r="AD169" s="64" t="str">
        <f t="shared" si="138"/>
        <v>22000-332.521806808191i</v>
      </c>
      <c r="AE169" s="64" t="str">
        <f t="shared" si="98"/>
        <v>489.07498019966-3243.90402004157i</v>
      </c>
      <c r="AF169" s="64" t="str">
        <f t="shared" si="139"/>
        <v>10000</v>
      </c>
      <c r="AG169" s="64" t="str">
        <f t="shared" si="140"/>
        <v>-85.2620017456899i</v>
      </c>
      <c r="AH169" s="64" t="str">
        <f t="shared" si="99"/>
        <v>0.726908050795544-85.2558039821403i</v>
      </c>
      <c r="AI169" s="64" t="str">
        <f t="shared" si="100"/>
        <v>38.0952112866306+5.41175196137149i</v>
      </c>
      <c r="AJ169" s="161">
        <f t="shared" si="101"/>
        <v>38.477684211298836</v>
      </c>
      <c r="AK169" s="161">
        <f t="shared" si="102"/>
        <v>31.704178520684145</v>
      </c>
      <c r="AL169" s="161">
        <f t="shared" si="103"/>
        <v>8.0852586570299021</v>
      </c>
      <c r="AN169" s="64" t="str">
        <f t="shared" si="104"/>
        <v>-0.0127859885882905+0.0181786742417964i</v>
      </c>
      <c r="AO169" s="161">
        <f t="shared" si="105"/>
        <v>2.2224889231878004E-2</v>
      </c>
      <c r="AP169" s="161">
        <f t="shared" si="106"/>
        <v>-33.063207897237341</v>
      </c>
      <c r="AQ169" s="161">
        <f t="shared" si="107"/>
        <v>125.12067501495028</v>
      </c>
      <c r="AR169" s="64">
        <f t="shared" si="108"/>
        <v>-54.87932498504972</v>
      </c>
      <c r="AT169" s="135" t="str">
        <f t="shared" si="141"/>
        <v>-1040.6031203672i</v>
      </c>
      <c r="AU169" s="135" t="str">
        <f t="shared" si="142"/>
        <v>27456.1383070198-186.260262628712i</v>
      </c>
      <c r="AV169" s="135" t="str">
        <f t="shared" si="109"/>
        <v>39.3608529681303-1038.84430094802i</v>
      </c>
      <c r="AW169" s="135" t="str">
        <f t="shared" si="143"/>
        <v>10000</v>
      </c>
      <c r="AX169" s="135" t="str">
        <f t="shared" si="144"/>
        <v>1789.92604368691-79.9819223196717i</v>
      </c>
      <c r="AY169" s="135" t="str">
        <f t="shared" si="110"/>
        <v>1518.57291696552-57.5373280206845i</v>
      </c>
      <c r="AZ169" s="135" t="str">
        <f t="shared" si="111"/>
        <v>0.0517649535160269-0.682131145804645i</v>
      </c>
      <c r="BA169" s="182">
        <f t="shared" si="112"/>
        <v>0.6840924721770254</v>
      </c>
      <c r="BB169" s="182">
        <f t="shared" si="113"/>
        <v>-3.2977037713940054</v>
      </c>
      <c r="BC169" s="182">
        <f t="shared" si="114"/>
        <v>-85.66030732521358</v>
      </c>
      <c r="BE169" s="135" t="str">
        <f t="shared" si="115"/>
        <v>0.000337357190671948+0.000205722597935399i</v>
      </c>
      <c r="BF169" s="161">
        <f t="shared" si="116"/>
        <v>3.9513499136289981E-4</v>
      </c>
      <c r="BG169" s="161">
        <f t="shared" si="117"/>
        <v>-68.065090189315512</v>
      </c>
      <c r="BH169" s="161">
        <f t="shared" si="118"/>
        <v>31.375109032706757</v>
      </c>
      <c r="BI169" s="64">
        <f t="shared" si="119"/>
        <v>-148.62489096729325</v>
      </c>
      <c r="BV169" s="186">
        <v>4786300.9232264012</v>
      </c>
      <c r="BW169" s="64">
        <v>-49.098855988692833</v>
      </c>
      <c r="BX169" s="64">
        <v>-133.30396432526209</v>
      </c>
      <c r="CC169" s="186">
        <v>4786300.9232264012</v>
      </c>
      <c r="CD169" s="64">
        <v>-55.726822702804107</v>
      </c>
      <c r="CE169" s="64">
        <v>-129.60530651107217</v>
      </c>
      <c r="CJ169" s="64">
        <v>4786300.9232264012</v>
      </c>
      <c r="CK169" s="64">
        <v>-69.152554854753205</v>
      </c>
      <c r="CL169" s="64">
        <v>-144.3377031221921</v>
      </c>
      <c r="CQ169" s="186">
        <v>4786300.9232264012</v>
      </c>
      <c r="CR169" s="64">
        <v>-63.137572124745191</v>
      </c>
      <c r="CS169" s="64">
        <v>-117.63986225559484</v>
      </c>
      <c r="CX169" s="139">
        <v>4786300.9232264012</v>
      </c>
      <c r="CY169" s="64">
        <v>-57.010443643553721</v>
      </c>
      <c r="CZ169" s="64">
        <v>-128.38508997385742</v>
      </c>
    </row>
    <row r="170" spans="2:104">
      <c r="B170" s="135">
        <f t="shared" si="127"/>
        <v>6.7200000000000006</v>
      </c>
      <c r="C170" s="139">
        <f t="shared" si="92"/>
        <v>5248074.6024977434</v>
      </c>
      <c r="D170" s="139">
        <f t="shared" si="93"/>
        <v>32974625.233396169</v>
      </c>
      <c r="E170" s="32" t="str">
        <f t="shared" si="94"/>
        <v>32974625.2333962i</v>
      </c>
      <c r="F170"/>
      <c r="G170" s="153" t="str">
        <f t="shared" si="129"/>
        <v>0.04+0.00403691586812712i</v>
      </c>
      <c r="H170" s="153" t="str">
        <f t="shared" si="130"/>
        <v>1+16.4337902539711i</v>
      </c>
      <c r="I170" t="str">
        <f t="shared" si="121"/>
        <v>0.000392304717105982-0.00241013756843605i</v>
      </c>
      <c r="J170"/>
      <c r="K170" t="str">
        <f t="shared" si="122"/>
        <v>0.04+0.00403691586812712i</v>
      </c>
      <c r="L170" t="str">
        <f t="shared" si="131"/>
        <v>5.43580907071529+89.3309461287686i</v>
      </c>
      <c r="M170" t="str">
        <f t="shared" si="123"/>
        <v>0.0000721704371883612-0.000443381571553047i</v>
      </c>
      <c r="N170" s="153" t="str">
        <f t="shared" si="132"/>
        <v>0.0011+7.25441755134716i</v>
      </c>
      <c r="O170" s="135" t="str">
        <f t="shared" si="133"/>
        <v>0.000242+1.59597186129637i</v>
      </c>
      <c r="Q170" s="135" t="str">
        <f t="shared" si="134"/>
        <v>-32.9746252333962i</v>
      </c>
      <c r="R170" s="135" t="str">
        <f t="shared" si="135"/>
        <v>-440.676592534111</v>
      </c>
      <c r="S170" s="64" t="str">
        <f t="shared" si="124"/>
        <v>-439.676592534111-32.9746252333962i</v>
      </c>
      <c r="T170" s="135" t="str">
        <f t="shared" si="136"/>
        <v>-4.39676592534111-0.329746252333962i</v>
      </c>
      <c r="U170" s="64" t="str">
        <f t="shared" si="125"/>
        <v>-4.39645175490392+1.26578222739085i</v>
      </c>
      <c r="W170" s="64" t="str">
        <f t="shared" si="126"/>
        <v>-0.000228152488254808+0.000482513245210051i</v>
      </c>
      <c r="X170" s="172">
        <f t="shared" si="95"/>
        <v>5.3373456858254466E-4</v>
      </c>
      <c r="Y170" s="188">
        <f t="shared" si="96"/>
        <v>-65.453493363509978</v>
      </c>
      <c r="Z170" s="161">
        <f t="shared" si="97"/>
        <v>115.3067472777979</v>
      </c>
      <c r="AA170" s="161">
        <f t="shared" si="128"/>
        <v>-115.3067472777979</v>
      </c>
      <c r="AB170" s="199"/>
      <c r="AC170" s="64" t="str">
        <f t="shared" si="137"/>
        <v>-3032.63492131282i</v>
      </c>
      <c r="AD170" s="64" t="str">
        <f t="shared" si="138"/>
        <v>22000-303.263492131282i</v>
      </c>
      <c r="AE170" s="64" t="str">
        <f t="shared" si="98"/>
        <v>408.644130962015-2970.67149821557i</v>
      </c>
      <c r="AF170" s="64" t="str">
        <f t="shared" si="139"/>
        <v>10000</v>
      </c>
      <c r="AG170" s="64" t="str">
        <f t="shared" si="140"/>
        <v>-77.7598697772517i</v>
      </c>
      <c r="AH170" s="64" t="str">
        <f t="shared" si="99"/>
        <v>0.604623175648611-77.7551682353114i</v>
      </c>
      <c r="AI170" s="64" t="str">
        <f t="shared" si="100"/>
        <v>38.2440083577203+4.95813880837518i</v>
      </c>
      <c r="AJ170" s="161">
        <f t="shared" si="101"/>
        <v>38.564067675862411</v>
      </c>
      <c r="AK170" s="161">
        <f t="shared" si="102"/>
        <v>31.723656726613008</v>
      </c>
      <c r="AL170" s="161">
        <f t="shared" si="103"/>
        <v>7.3869009207476868</v>
      </c>
      <c r="AN170" s="64" t="str">
        <f t="shared" si="104"/>
        <v>-0.0111178333142826+0.0173220288762804i</v>
      </c>
      <c r="AO170" s="161">
        <f t="shared" si="105"/>
        <v>2.0582976023764493E-2</v>
      </c>
      <c r="AP170" s="161">
        <f t="shared" si="106"/>
        <v>-33.729836636896962</v>
      </c>
      <c r="AQ170" s="161">
        <f t="shared" si="107"/>
        <v>122.6936481985457</v>
      </c>
      <c r="AR170" s="64">
        <f t="shared" si="108"/>
        <v>-57.306351801454298</v>
      </c>
      <c r="AT170" s="135" t="str">
        <f t="shared" si="141"/>
        <v>-949.041325242472i</v>
      </c>
      <c r="AU170" s="135" t="str">
        <f t="shared" si="142"/>
        <v>27456.1383070198-169.871378458664i</v>
      </c>
      <c r="AV170" s="135" t="str">
        <f t="shared" si="109"/>
        <v>32.7499108543115-947.706676833793i</v>
      </c>
      <c r="AW170" s="135" t="str">
        <f t="shared" si="143"/>
        <v>10000</v>
      </c>
      <c r="AX170" s="135" t="str">
        <f t="shared" si="144"/>
        <v>1789.92604368691-72.944380108063i</v>
      </c>
      <c r="AY170" s="135" t="str">
        <f t="shared" si="110"/>
        <v>1518.50725205638-52.4750730918333i</v>
      </c>
      <c r="AZ170" s="135" t="str">
        <f t="shared" si="111"/>
        <v>0.043082899918176-0.622615333072163i</v>
      </c>
      <c r="BA170" s="182">
        <f t="shared" si="112"/>
        <v>0.62410414935483338</v>
      </c>
      <c r="BB170" s="182">
        <f t="shared" si="113"/>
        <v>-4.0948586000754323</v>
      </c>
      <c r="BC170" s="182">
        <f t="shared" si="114"/>
        <v>-86.041633313020725</v>
      </c>
      <c r="BE170" s="135" t="str">
        <f t="shared" si="115"/>
        <v>0.000290590674060621+0.000162839307318589i</v>
      </c>
      <c r="BF170" s="161">
        <f t="shared" si="116"/>
        <v>3.3310595890647759E-4</v>
      </c>
      <c r="BG170" s="161">
        <f t="shared" si="117"/>
        <v>-69.548351963585432</v>
      </c>
      <c r="BH170" s="161">
        <f t="shared" si="118"/>
        <v>29.265113964777232</v>
      </c>
      <c r="BI170" s="64">
        <f t="shared" si="119"/>
        <v>-150.73488603522276</v>
      </c>
      <c r="BV170" s="186">
        <v>5248074.6024977434</v>
      </c>
      <c r="BW170" s="64">
        <v>-49.819408553921505</v>
      </c>
      <c r="BX170" s="64">
        <v>-131.51470576301307</v>
      </c>
      <c r="CC170" s="186">
        <v>5248074.6024977434</v>
      </c>
      <c r="CD170" s="64">
        <v>-56.338202570901501</v>
      </c>
      <c r="CE170" s="64">
        <v>-127.18401265639118</v>
      </c>
      <c r="CJ170" s="64">
        <v>5248074.6024977434</v>
      </c>
      <c r="CK170" s="64">
        <v>-69.512445486070447</v>
      </c>
      <c r="CL170" s="64">
        <v>-141.26558386601127</v>
      </c>
      <c r="CQ170" s="186">
        <v>5248074.6024977434</v>
      </c>
      <c r="CR170" s="64">
        <v>-63.858406703976279</v>
      </c>
      <c r="CS170" s="64">
        <v>-115.98704661520567</v>
      </c>
      <c r="CX170" s="139">
        <v>5248074.6024977434</v>
      </c>
      <c r="CY170" s="64">
        <v>-57.621139063597404</v>
      </c>
      <c r="CZ170" s="64">
        <v>-125.92348614759554</v>
      </c>
    </row>
    <row r="171" spans="2:104">
      <c r="B171" s="135">
        <f t="shared" ref="B171:B177" si="145">1+B146</f>
        <v>6.7600000000000007</v>
      </c>
      <c r="C171" s="139">
        <f t="shared" si="92"/>
        <v>5754399.3733715862</v>
      </c>
      <c r="D171" s="139">
        <f t="shared" si="93"/>
        <v>36155957.594411768</v>
      </c>
      <c r="E171" s="32" t="str">
        <f t="shared" si="94"/>
        <v>36155957.5944118i</v>
      </c>
      <c r="F171"/>
      <c r="G171" s="153" t="str">
        <f t="shared" si="129"/>
        <v>0.04+0.00366285435076361i</v>
      </c>
      <c r="H171" s="153" t="str">
        <f t="shared" si="130"/>
        <v>1+14.8979830642061i</v>
      </c>
      <c r="I171" t="str">
        <f t="shared" si="121"/>
        <v>0.000424172167588928-0.00265645541828383i</v>
      </c>
      <c r="J171"/>
      <c r="K171" t="str">
        <f t="shared" si="122"/>
        <v>0.04+0.00366285435076361i</v>
      </c>
      <c r="L171" t="str">
        <f t="shared" si="131"/>
        <v>5.43580907071529+80.9825914757742i</v>
      </c>
      <c r="M171" t="str">
        <f t="shared" si="123"/>
        <v>0.0000780329408319547-0.000488695497528628i</v>
      </c>
      <c r="N171" s="153" t="str">
        <f t="shared" si="132"/>
        <v>0.0011+7.9543106707706i</v>
      </c>
      <c r="O171" s="135" t="str">
        <f t="shared" si="133"/>
        <v>0.000242+1.74994834756953i</v>
      </c>
      <c r="Q171" s="135" t="str">
        <f t="shared" si="134"/>
        <v>-36.1559575944118i</v>
      </c>
      <c r="R171" s="135" t="str">
        <f t="shared" si="135"/>
        <v>-529.809794372148</v>
      </c>
      <c r="S171" s="64" t="str">
        <f t="shared" si="124"/>
        <v>-528.809794372148-36.1559575944118i</v>
      </c>
      <c r="T171" s="135" t="str">
        <f t="shared" si="136"/>
        <v>-5.28809794372148-0.361559575944118i</v>
      </c>
      <c r="U171" s="64" t="str">
        <f t="shared" si="125"/>
        <v>-5.28777791078065+1.38790007612788i</v>
      </c>
      <c r="W171" s="64" t="str">
        <f t="shared" si="126"/>
        <v>-0.000198409017452867+0.000450299458114914i</v>
      </c>
      <c r="X171" s="172">
        <f t="shared" si="95"/>
        <v>4.9207290129125916E-4</v>
      </c>
      <c r="Y171" s="188">
        <f t="shared" si="96"/>
        <v>-66.159411022574815</v>
      </c>
      <c r="Z171" s="161">
        <f t="shared" si="97"/>
        <v>113.77904361388634</v>
      </c>
      <c r="AA171" s="161">
        <f t="shared" si="128"/>
        <v>-113.77904361388634</v>
      </c>
      <c r="AB171" s="199"/>
      <c r="AC171" s="64" t="str">
        <f t="shared" si="137"/>
        <v>-2765.79592004655i</v>
      </c>
      <c r="AD171" s="64" t="str">
        <f t="shared" si="138"/>
        <v>22000-276.579592004655i</v>
      </c>
      <c r="AE171" s="64" t="str">
        <f t="shared" si="98"/>
        <v>341.185467454352-2718.61345135333i</v>
      </c>
      <c r="AF171" s="64" t="str">
        <f t="shared" si="139"/>
        <v>10000</v>
      </c>
      <c r="AG171" s="64" t="str">
        <f t="shared" si="140"/>
        <v>-70.9178441037576i</v>
      </c>
      <c r="AH171" s="64" t="str">
        <f t="shared" si="99"/>
        <v>0.502908768237563-70.9142775831952i</v>
      </c>
      <c r="AI171" s="64" t="str">
        <f t="shared" si="100"/>
        <v>38.3688068852095+4.53913469917722i</v>
      </c>
      <c r="AJ171" s="161">
        <f t="shared" si="101"/>
        <v>38.636369984921913</v>
      </c>
      <c r="AK171" s="161">
        <f t="shared" si="102"/>
        <v>31.739926325069007</v>
      </c>
      <c r="AL171" s="161">
        <f t="shared" si="103"/>
        <v>6.7468884560698994</v>
      </c>
      <c r="AN171" s="64" t="str">
        <f t="shared" si="104"/>
        <v>-0.00965668717028332+0.0163768476931757i</v>
      </c>
      <c r="AO171" s="161">
        <f t="shared" si="105"/>
        <v>1.9011910673843085E-2</v>
      </c>
      <c r="AP171" s="161">
        <f t="shared" si="106"/>
        <v>-34.419484697505787</v>
      </c>
      <c r="AQ171" s="161">
        <f t="shared" si="107"/>
        <v>120.52593206995616</v>
      </c>
      <c r="AR171" s="64">
        <f t="shared" si="108"/>
        <v>-59.474067930043844</v>
      </c>
      <c r="AT171" s="135" t="str">
        <f t="shared" si="141"/>
        <v>-865.535975617832i</v>
      </c>
      <c r="AU171" s="135" t="str">
        <f t="shared" si="142"/>
        <v>27456.1383070198-154.924538450632i</v>
      </c>
      <c r="AV171" s="135" t="str">
        <f t="shared" si="109"/>
        <v>27.2477898812386-864.523258776209i</v>
      </c>
      <c r="AW171" s="135" t="str">
        <f t="shared" si="143"/>
        <v>10000</v>
      </c>
      <c r="AX171" s="135" t="str">
        <f t="shared" si="144"/>
        <v>1789.92604368691-66.5260653286511i</v>
      </c>
      <c r="AY171" s="135" t="str">
        <f t="shared" si="110"/>
        <v>1518.45263358934-47.858143646967i</v>
      </c>
      <c r="AZ171" s="135" t="str">
        <f t="shared" si="111"/>
        <v>0.0358532747318447-0.568214884361827i</v>
      </c>
      <c r="BA171" s="182">
        <f t="shared" si="112"/>
        <v>0.56934489733317328</v>
      </c>
      <c r="BB171" s="182">
        <f t="shared" si="113"/>
        <v>-4.8924913458938528</v>
      </c>
      <c r="BC171" s="182">
        <f t="shared" si="114"/>
        <v>-86.389532123624221</v>
      </c>
      <c r="BE171" s="135" t="str">
        <f t="shared" si="115"/>
        <v>0.000248753241508946+0.000128883667091719i</v>
      </c>
      <c r="BF171" s="161">
        <f t="shared" si="116"/>
        <v>2.8015919546610829E-4</v>
      </c>
      <c r="BG171" s="161">
        <f t="shared" si="117"/>
        <v>-71.051902368468674</v>
      </c>
      <c r="BH171" s="161">
        <f t="shared" si="118"/>
        <v>27.389511490262066</v>
      </c>
      <c r="BI171" s="64">
        <f t="shared" si="119"/>
        <v>-152.61048850973793</v>
      </c>
      <c r="BV171" s="186">
        <v>5754399.3733715862</v>
      </c>
      <c r="BW171" s="64">
        <v>-50.559195347982751</v>
      </c>
      <c r="BX171" s="64">
        <v>-129.9728570374229</v>
      </c>
      <c r="CC171" s="186">
        <v>5754399.3733715862</v>
      </c>
      <c r="CD171" s="64">
        <v>-56.977462574249422</v>
      </c>
      <c r="CE171" s="64">
        <v>-124.97263314575898</v>
      </c>
      <c r="CJ171" s="64">
        <v>5754399.3733715862</v>
      </c>
      <c r="CK171" s="64">
        <v>-69.913432893797292</v>
      </c>
      <c r="CL171" s="64">
        <v>-138.25629581712354</v>
      </c>
      <c r="CQ171" s="186">
        <v>5754399.3733715862</v>
      </c>
      <c r="CR171" s="64">
        <v>-64.593400936713877</v>
      </c>
      <c r="CS171" s="64">
        <v>-114.53354924880354</v>
      </c>
      <c r="CX171" s="139">
        <v>5754399.3733715862</v>
      </c>
      <c r="CY171" s="64">
        <v>-58.259679080983986</v>
      </c>
      <c r="CZ171" s="64">
        <v>-123.66842064808202</v>
      </c>
    </row>
    <row r="172" spans="2:104">
      <c r="B172" s="135">
        <f t="shared" si="145"/>
        <v>6.8000000000000007</v>
      </c>
      <c r="C172" s="139">
        <f t="shared" si="92"/>
        <v>6309573.444801949</v>
      </c>
      <c r="D172" s="139">
        <f t="shared" si="93"/>
        <v>39644219.162950091</v>
      </c>
      <c r="E172" s="32" t="str">
        <f t="shared" si="94"/>
        <v>39644219.1629501i</v>
      </c>
      <c r="F172"/>
      <c r="G172" s="153" t="str">
        <f t="shared" si="129"/>
        <v>0.04+0.00332648255264818i</v>
      </c>
      <c r="H172" s="153" t="str">
        <f t="shared" si="130"/>
        <v>1+13.5198435286504i</v>
      </c>
      <c r="I172" t="str">
        <f t="shared" si="121"/>
        <v>0.000462349936650942-0.00292441624635399i</v>
      </c>
      <c r="J172"/>
      <c r="K172" t="str">
        <f t="shared" si="122"/>
        <v>0.04+0.00332648255264818i</v>
      </c>
      <c r="L172" t="str">
        <f t="shared" si="131"/>
        <v>5.43580907071529+73.4912880876892i</v>
      </c>
      <c r="M172" t="str">
        <f t="shared" si="123"/>
        <v>0.0000850563238399584-0.000537990979504578i</v>
      </c>
      <c r="N172" s="153" t="str">
        <f t="shared" si="132"/>
        <v>0.0011+8.72172821584902i</v>
      </c>
      <c r="O172" s="135" t="str">
        <f t="shared" si="133"/>
        <v>0.000242+1.91878020748678i</v>
      </c>
      <c r="Q172" s="135" t="str">
        <f t="shared" si="134"/>
        <v>-39.6442191629501i</v>
      </c>
      <c r="R172" s="135" t="str">
        <f t="shared" si="135"/>
        <v>-636.971472885599</v>
      </c>
      <c r="S172" s="64" t="str">
        <f t="shared" si="124"/>
        <v>-635.971472885599-39.6442191629501i</v>
      </c>
      <c r="T172" s="135" t="str">
        <f t="shared" si="136"/>
        <v>-6.35971472885599-0.396442191629501i</v>
      </c>
      <c r="U172" s="64" t="str">
        <f t="shared" si="125"/>
        <v>-6.35938767253215+1.52180002487777i</v>
      </c>
      <c r="W172" s="64" t="str">
        <f t="shared" si="126"/>
        <v>-0.000172849369139616+0.000418495334636129i</v>
      </c>
      <c r="X172" s="172">
        <f t="shared" si="95"/>
        <v>4.5278609687596287E-4</v>
      </c>
      <c r="Y172" s="188">
        <f t="shared" si="96"/>
        <v>-66.88213833881403</v>
      </c>
      <c r="Z172" s="161">
        <f t="shared" si="97"/>
        <v>112.44188794395518</v>
      </c>
      <c r="AA172" s="161">
        <f t="shared" si="128"/>
        <v>-112.44188794395518</v>
      </c>
      <c r="AB172" s="199"/>
      <c r="AC172" s="64" t="str">
        <f t="shared" si="137"/>
        <v>-2522.4358585288i</v>
      </c>
      <c r="AD172" s="64" t="str">
        <f t="shared" si="138"/>
        <v>22000-252.24358585288i</v>
      </c>
      <c r="AE172" s="64" t="str">
        <f t="shared" si="98"/>
        <v>284.684456068852-2486.53094451111i</v>
      </c>
      <c r="AF172" s="64" t="str">
        <f t="shared" si="139"/>
        <v>10000</v>
      </c>
      <c r="AG172" s="64" t="str">
        <f t="shared" si="140"/>
        <v>-64.6778425263795i</v>
      </c>
      <c r="AH172" s="64" t="str">
        <f t="shared" si="99"/>
        <v>0.418304832761427-64.6751370209694i</v>
      </c>
      <c r="AI172" s="64" t="str">
        <f t="shared" si="100"/>
        <v>38.4733337562726+4.15292316333362i</v>
      </c>
      <c r="AJ172" s="161">
        <f t="shared" si="101"/>
        <v>38.696823915175486</v>
      </c>
      <c r="AK172" s="161">
        <f t="shared" si="102"/>
        <v>31.753506425588618</v>
      </c>
      <c r="AL172" s="161">
        <f t="shared" si="103"/>
        <v>6.1608184730147633</v>
      </c>
      <c r="AN172" s="64" t="str">
        <f t="shared" si="104"/>
        <v>-0.00838807043742705+0.0153830805360313i</v>
      </c>
      <c r="AO172" s="161">
        <f t="shared" si="105"/>
        <v>1.7521383862048757E-2</v>
      </c>
      <c r="AP172" s="161">
        <f t="shared" si="106"/>
        <v>-35.128631913225391</v>
      </c>
      <c r="AQ172" s="161">
        <f t="shared" si="107"/>
        <v>118.60270641696989</v>
      </c>
      <c r="AR172" s="64">
        <f t="shared" si="108"/>
        <v>-61.397293583030105</v>
      </c>
      <c r="AT172" s="135" t="str">
        <f t="shared" si="141"/>
        <v>-789.378191615956i</v>
      </c>
      <c r="AU172" s="135" t="str">
        <f t="shared" si="142"/>
        <v>27456.1383070198-141.292858349188i</v>
      </c>
      <c r="AV172" s="135" t="str">
        <f t="shared" si="109"/>
        <v>22.6689854330749-788.609789000894i</v>
      </c>
      <c r="AW172" s="135" t="str">
        <f t="shared" si="143"/>
        <v>10000</v>
      </c>
      <c r="AX172" s="135" t="str">
        <f t="shared" si="144"/>
        <v>1789.92604368691-60.6724926794292i</v>
      </c>
      <c r="AY172" s="135" t="str">
        <f t="shared" si="110"/>
        <v>1518.40720339132-43.6473795471932i</v>
      </c>
      <c r="AZ172" s="135" t="str">
        <f t="shared" si="111"/>
        <v>0.0298342491723337-0.518508869323943i</v>
      </c>
      <c r="BA172" s="182">
        <f t="shared" si="112"/>
        <v>0.51936646983731127</v>
      </c>
      <c r="BB172" s="182">
        <f t="shared" si="113"/>
        <v>-5.6905218347843505</v>
      </c>
      <c r="BC172" s="182">
        <f t="shared" si="114"/>
        <v>-86.706914771405934</v>
      </c>
      <c r="BE172" s="135" t="str">
        <f t="shared" si="115"/>
        <v>0.000211836711631332+0.000102109425046933i</v>
      </c>
      <c r="BF172" s="161">
        <f t="shared" si="116"/>
        <v>2.3516191672588344E-4</v>
      </c>
      <c r="BG172" s="161">
        <f t="shared" si="117"/>
        <v>-72.572660173598379</v>
      </c>
      <c r="BH172" s="161">
        <f t="shared" si="118"/>
        <v>25.73497317254937</v>
      </c>
      <c r="BI172" s="64">
        <f t="shared" si="119"/>
        <v>-154.26502682745064</v>
      </c>
      <c r="BV172" s="186">
        <v>6309573.444801949</v>
      </c>
      <c r="BW172" s="64">
        <v>-51.317265657612403</v>
      </c>
      <c r="BX172" s="64">
        <v>-128.68335496212984</v>
      </c>
      <c r="CC172" s="186">
        <v>6309573.444801949</v>
      </c>
      <c r="CD172" s="64">
        <v>-57.641589081402095</v>
      </c>
      <c r="CE172" s="64">
        <v>-122.97234679663393</v>
      </c>
      <c r="CJ172" s="64">
        <v>6309573.444801949</v>
      </c>
      <c r="CK172" s="64">
        <v>-70.35444634158118</v>
      </c>
      <c r="CL172" s="64">
        <v>-135.32732630766995</v>
      </c>
      <c r="CQ172" s="186">
        <v>6309573.444801949</v>
      </c>
      <c r="CR172" s="64">
        <v>-65.340657274370642</v>
      </c>
      <c r="CS172" s="64">
        <v>-113.27140870930953</v>
      </c>
      <c r="CX172" s="139">
        <v>6309573.444801949</v>
      </c>
      <c r="CY172" s="64">
        <v>-58.922891240406514</v>
      </c>
      <c r="CZ172" s="64">
        <v>-121.61950533919351</v>
      </c>
    </row>
    <row r="173" spans="2:104">
      <c r="B173" s="135">
        <f t="shared" si="145"/>
        <v>6.8400000000000007</v>
      </c>
      <c r="C173" s="139">
        <f t="shared" si="92"/>
        <v>6918309.7091893917</v>
      </c>
      <c r="D173" s="139">
        <f t="shared" si="93"/>
        <v>43469021.915296659</v>
      </c>
      <c r="E173" s="32" t="str">
        <f t="shared" si="94"/>
        <v>43469021.9152967i</v>
      </c>
      <c r="F173"/>
      <c r="G173" s="153" t="str">
        <f t="shared" si="129"/>
        <v>0.04+0.00302324648961991i</v>
      </c>
      <c r="H173" s="153" t="str">
        <f t="shared" si="130"/>
        <v>1+12.2797362458943i</v>
      </c>
      <c r="I173" t="str">
        <f t="shared" si="121"/>
        <v>0.000508094688743172-0.00321602227608601i</v>
      </c>
      <c r="J173"/>
      <c r="K173" t="str">
        <f t="shared" si="122"/>
        <v>0.04+0.00302324648961991i</v>
      </c>
      <c r="L173" t="str">
        <f t="shared" si="131"/>
        <v>5.43580907071529+66.7503016714235i</v>
      </c>
      <c r="M173" t="str">
        <f t="shared" si="123"/>
        <v>0.0000934717688081553-0.00059163635702584i</v>
      </c>
      <c r="N173" s="153" t="str">
        <f t="shared" si="132"/>
        <v>0.0011+9.56318482136528i</v>
      </c>
      <c r="O173" s="135" t="str">
        <f t="shared" si="133"/>
        <v>0.000242+2.10390066070036i</v>
      </c>
      <c r="Q173" s="135" t="str">
        <f t="shared" si="134"/>
        <v>-43.4690219152967i</v>
      </c>
      <c r="R173" s="135" t="str">
        <f t="shared" si="135"/>
        <v>-765.808147716231</v>
      </c>
      <c r="S173" s="64" t="str">
        <f t="shared" si="124"/>
        <v>-764.808147716231-43.4690219152967i</v>
      </c>
      <c r="T173" s="135" t="str">
        <f t="shared" si="136"/>
        <v>-7.64808147716231-0.434690219152967i</v>
      </c>
      <c r="U173" s="64" t="str">
        <f t="shared" si="125"/>
        <v>-7.6477460053935+1.66861880519037i</v>
      </c>
      <c r="W173" s="64" t="str">
        <f t="shared" si="126"/>
        <v>-0.000150999606907222+0.000387573213118465i</v>
      </c>
      <c r="X173" s="172">
        <f t="shared" si="95"/>
        <v>4.1594936808836077E-4</v>
      </c>
      <c r="Y173" s="188">
        <f t="shared" si="96"/>
        <v>-67.619190622951038</v>
      </c>
      <c r="Z173" s="161">
        <f t="shared" si="97"/>
        <v>111.28602729644197</v>
      </c>
      <c r="AA173" s="161">
        <f t="shared" si="128"/>
        <v>-111.28602729644197</v>
      </c>
      <c r="AB173" s="199"/>
      <c r="AC173" s="64" t="str">
        <f t="shared" si="137"/>
        <v>-2300.48884455829i</v>
      </c>
      <c r="AD173" s="64" t="str">
        <f t="shared" si="138"/>
        <v>22000-230.048884455829i</v>
      </c>
      <c r="AE173" s="64" t="str">
        <f t="shared" si="98"/>
        <v>237.41561296428-2273.18024610088i</v>
      </c>
      <c r="AF173" s="64" t="str">
        <f t="shared" si="139"/>
        <v>10000</v>
      </c>
      <c r="AG173" s="64" t="str">
        <f t="shared" si="140"/>
        <v>-58.9868934502127i</v>
      </c>
      <c r="AH173" s="64" t="str">
        <f t="shared" si="99"/>
        <v>0.347933253714556-58.9848411000362i</v>
      </c>
      <c r="AI173" s="64" t="str">
        <f t="shared" si="100"/>
        <v>38.5607811160161+3.79756952375129i</v>
      </c>
      <c r="AJ173" s="161">
        <f t="shared" si="101"/>
        <v>38.747327321571852</v>
      </c>
      <c r="AK173" s="161">
        <f t="shared" si="102"/>
        <v>31.764835029995378</v>
      </c>
      <c r="AL173" s="161">
        <f t="shared" si="103"/>
        <v>5.6245056617548697</v>
      </c>
      <c r="AN173" s="64" t="str">
        <f t="shared" si="104"/>
        <v>-0.00729449901291491+0.0143716943322029i</v>
      </c>
      <c r="AO173" s="161">
        <f t="shared" si="105"/>
        <v>1.6116926314520691E-2</v>
      </c>
      <c r="AP173" s="161">
        <f t="shared" si="106"/>
        <v>-35.854355592955656</v>
      </c>
      <c r="AQ173" s="161">
        <f t="shared" si="107"/>
        <v>116.91053295819684</v>
      </c>
      <c r="AR173" s="64">
        <f t="shared" si="108"/>
        <v>-63.089467041803161</v>
      </c>
      <c r="AT173" s="135" t="str">
        <f t="shared" si="141"/>
        <v>-719.921467104917i</v>
      </c>
      <c r="AU173" s="135" t="str">
        <f t="shared" si="142"/>
        <v>27456.1383070198-128.860618338038i</v>
      </c>
      <c r="AV173" s="135" t="str">
        <f t="shared" si="109"/>
        <v>18.858882058898-719.338461546594i</v>
      </c>
      <c r="AW173" s="135" t="str">
        <f t="shared" si="143"/>
        <v>10000</v>
      </c>
      <c r="AX173" s="135" t="str">
        <f t="shared" si="144"/>
        <v>1789.92604368691-55.3339709743814i</v>
      </c>
      <c r="AY173" s="135" t="str">
        <f t="shared" si="110"/>
        <v>1518.36941582775-39.8070606058906i</v>
      </c>
      <c r="AZ173" s="135" t="str">
        <f t="shared" si="111"/>
        <v>0.0248239044984996-0.473106404401681i</v>
      </c>
      <c r="BA173" s="182">
        <f t="shared" si="112"/>
        <v>0.47375721220941597</v>
      </c>
      <c r="BB173" s="182">
        <f t="shared" si="113"/>
        <v>-6.4888833104442858</v>
      </c>
      <c r="BC173" s="182">
        <f t="shared" si="114"/>
        <v>-86.996443407761561</v>
      </c>
      <c r="BE173" s="135" t="str">
        <f t="shared" si="115"/>
        <v>0.000179614969479708+0.0000810599615185725i</v>
      </c>
      <c r="BF173" s="161">
        <f t="shared" si="116"/>
        <v>1.9705901304581047E-4</v>
      </c>
      <c r="BG173" s="161">
        <f t="shared" si="117"/>
        <v>-74.108073933395303</v>
      </c>
      <c r="BH173" s="161">
        <f t="shared" si="118"/>
        <v>24.289583888680379</v>
      </c>
      <c r="BI173" s="64">
        <f t="shared" si="119"/>
        <v>-155.71041611131963</v>
      </c>
      <c r="BV173" s="186">
        <v>6918309.7091893917</v>
      </c>
      <c r="BW173" s="64">
        <v>-52.092946001437859</v>
      </c>
      <c r="BX173" s="64">
        <v>-127.64885059852897</v>
      </c>
      <c r="CC173" s="186">
        <v>6918309.7091893917</v>
      </c>
      <c r="CD173" s="64">
        <v>-58.327806609387409</v>
      </c>
      <c r="CE173" s="64">
        <v>-121.18284765796942</v>
      </c>
      <c r="CJ173" s="64">
        <v>6918309.7091893917</v>
      </c>
      <c r="CK173" s="64">
        <v>-70.833946113367517</v>
      </c>
      <c r="CL173" s="64">
        <v>-132.4960006709816</v>
      </c>
      <c r="CQ173" s="186">
        <v>6918309.7091893917</v>
      </c>
      <c r="CR173" s="64">
        <v>-66.098603261906263</v>
      </c>
      <c r="CS173" s="64">
        <v>-112.19330095196371</v>
      </c>
      <c r="CX173" s="139">
        <v>6918309.7091893917</v>
      </c>
      <c r="CY173" s="64">
        <v>-59.60786285404447</v>
      </c>
      <c r="CZ173" s="64">
        <v>-119.77502671687026</v>
      </c>
    </row>
    <row r="174" spans="2:104">
      <c r="B174" s="135">
        <f t="shared" si="145"/>
        <v>6.8800000000000008</v>
      </c>
      <c r="C174" s="139">
        <f t="shared" si="92"/>
        <v>7585775.7502918644</v>
      </c>
      <c r="D174" s="139">
        <f t="shared" si="93"/>
        <v>47662834.737793043</v>
      </c>
      <c r="E174" s="32" t="str">
        <f t="shared" si="94"/>
        <v>47662834.737793i</v>
      </c>
      <c r="F174"/>
      <c r="G174" s="153" t="str">
        <f t="shared" si="129"/>
        <v>0.04+0.00274932384110473i</v>
      </c>
      <c r="H174" s="153" t="str">
        <f t="shared" si="130"/>
        <v>1+11.1612676998115i</v>
      </c>
      <c r="I174" t="str">
        <f t="shared" si="121"/>
        <v>0.000562903129235306-0.00353338867335211i</v>
      </c>
      <c r="J174"/>
      <c r="K174" t="str">
        <f t="shared" si="122"/>
        <v>0.04+0.00274932384110473i</v>
      </c>
      <c r="L174" t="str">
        <f t="shared" si="131"/>
        <v>5.43580907071529+60.6705202033169i</v>
      </c>
      <c r="M174" t="str">
        <f t="shared" si="123"/>
        <v>0.000103554617521037-0.000650020747120752i</v>
      </c>
      <c r="N174" s="153" t="str">
        <f t="shared" si="132"/>
        <v>0.0011+10.4858236423145i</v>
      </c>
      <c r="O174" s="135" t="str">
        <f t="shared" si="133"/>
        <v>0.000242+2.30688120130919i</v>
      </c>
      <c r="Q174" s="135" t="str">
        <f t="shared" si="134"/>
        <v>-47.662834737793i</v>
      </c>
      <c r="R174" s="135" t="str">
        <f t="shared" si="135"/>
        <v>-920.703899739457</v>
      </c>
      <c r="S174" s="64" t="str">
        <f t="shared" si="124"/>
        <v>-919.703899739457-47.662834737793i</v>
      </c>
      <c r="T174" s="135" t="str">
        <f t="shared" si="136"/>
        <v>-9.19703899739457-0.47662834737793i</v>
      </c>
      <c r="U174" s="64" t="str">
        <f t="shared" si="125"/>
        <v>-9.19669344277705+1.82960283318414i</v>
      </c>
      <c r="W174" s="64" t="str">
        <f t="shared" si="126"/>
        <v>-0.000132400698079114+0.00035786209483973i</v>
      </c>
      <c r="X174" s="172">
        <f t="shared" si="95"/>
        <v>3.815694219600368E-4</v>
      </c>
      <c r="Y174" s="188">
        <f t="shared" si="96"/>
        <v>-68.36852871741533</v>
      </c>
      <c r="Z174" s="161">
        <f t="shared" si="97"/>
        <v>110.30330807786217</v>
      </c>
      <c r="AA174" s="161">
        <f t="shared" si="128"/>
        <v>-110.30330807786217</v>
      </c>
      <c r="AB174" s="199"/>
      <c r="AC174" s="64" t="str">
        <f t="shared" si="137"/>
        <v>-2098.07076205452i</v>
      </c>
      <c r="AD174" s="64" t="str">
        <f t="shared" si="138"/>
        <v>22000-209.807076205452i</v>
      </c>
      <c r="AE174" s="64" t="str">
        <f t="shared" si="98"/>
        <v>197.908471860012-2077.3094631359i</v>
      </c>
      <c r="AF174" s="64" t="str">
        <f t="shared" si="139"/>
        <v>10000</v>
      </c>
      <c r="AG174" s="64" t="str">
        <f t="shared" si="140"/>
        <v>-53.7966862065261i</v>
      </c>
      <c r="AH174" s="64" t="str">
        <f t="shared" si="99"/>
        <v>0.28939996920374-53.795129330593i</v>
      </c>
      <c r="AI174" s="64" t="str">
        <f t="shared" si="100"/>
        <v>38.633869327059+3.47109178080085i</v>
      </c>
      <c r="AJ174" s="161">
        <f t="shared" si="101"/>
        <v>38.78948745898834</v>
      </c>
      <c r="AK174" s="161">
        <f t="shared" si="102"/>
        <v>31.774280822625663</v>
      </c>
      <c r="AL174" s="161">
        <f t="shared" si="103"/>
        <v>5.1340017172045123</v>
      </c>
      <c r="AN174" s="64" t="str">
        <f t="shared" si="104"/>
        <v>-0.00635732344445824+0.013366022434271i</v>
      </c>
      <c r="AO174" s="161">
        <f t="shared" si="105"/>
        <v>1.4800882307852259E-2</v>
      </c>
      <c r="AP174" s="161">
        <f t="shared" si="106"/>
        <v>-36.594247894789675</v>
      </c>
      <c r="AQ174" s="161">
        <f t="shared" si="107"/>
        <v>115.43730979506668</v>
      </c>
      <c r="AR174" s="64">
        <f t="shared" si="108"/>
        <v>-64.562690204933318</v>
      </c>
      <c r="AT174" s="135" t="str">
        <f t="shared" si="141"/>
        <v>-656.576181484694i</v>
      </c>
      <c r="AU174" s="135" t="str">
        <f t="shared" si="142"/>
        <v>27456.1383070198-117.522280690396i</v>
      </c>
      <c r="AV174" s="135" t="str">
        <f t="shared" si="109"/>
        <v>15.6886548795039-656.133855492597i</v>
      </c>
      <c r="AW174" s="135" t="str">
        <f t="shared" si="143"/>
        <v>10000</v>
      </c>
      <c r="AX174" s="135" t="str">
        <f t="shared" si="144"/>
        <v>1789.92604368691-50.4651813132412i</v>
      </c>
      <c r="AY174" s="135" t="str">
        <f t="shared" si="110"/>
        <v>1518.33798524487-36.3046052898222i</v>
      </c>
      <c r="AZ174" s="135" t="str">
        <f t="shared" si="111"/>
        <v>0.02065375505911-0.431645677995553i</v>
      </c>
      <c r="BA174" s="182">
        <f t="shared" si="112"/>
        <v>0.43213952484155199</v>
      </c>
      <c r="BB174" s="182">
        <f t="shared" si="113"/>
        <v>-7.287520198628048</v>
      </c>
      <c r="BC174" s="182">
        <f t="shared" si="114"/>
        <v>-87.260551469367186</v>
      </c>
      <c r="BE174" s="135" t="str">
        <f t="shared" si="115"/>
        <v>0.000151735054968223+0.0000645413851412035i</v>
      </c>
      <c r="BF174" s="161">
        <f t="shared" si="116"/>
        <v>1.6489122869987603E-4</v>
      </c>
      <c r="BG174" s="161">
        <f t="shared" si="117"/>
        <v>-75.65604891604336</v>
      </c>
      <c r="BH174" s="161">
        <f t="shared" si="118"/>
        <v>23.042756608494994</v>
      </c>
      <c r="BI174" s="64">
        <f t="shared" si="119"/>
        <v>-156.95724339150502</v>
      </c>
      <c r="BV174" s="186">
        <v>7585775.7502918644</v>
      </c>
      <c r="BW174" s="64">
        <v>-52.885871189843989</v>
      </c>
      <c r="BX174" s="64">
        <v>-126.87013272178066</v>
      </c>
      <c r="CC174" s="186">
        <v>7585775.7502918644</v>
      </c>
      <c r="CD174" s="64">
        <v>-59.033615884785426</v>
      </c>
      <c r="CE174" s="64">
        <v>-119.60263142692268</v>
      </c>
      <c r="CJ174" s="64">
        <v>7585775.7502918644</v>
      </c>
      <c r="CK174" s="64">
        <v>-71.349964515928093</v>
      </c>
      <c r="CL174" s="64">
        <v>-129.77854509401379</v>
      </c>
      <c r="CQ174" s="186">
        <v>7585775.7502918644</v>
      </c>
      <c r="CR174" s="64">
        <v>-66.865962639856804</v>
      </c>
      <c r="CS174" s="64">
        <v>-111.29263034260335</v>
      </c>
      <c r="CX174" s="139">
        <v>7585775.7502918644</v>
      </c>
      <c r="CY174" s="64">
        <v>-60.311970981401721</v>
      </c>
      <c r="CZ174" s="64">
        <v>-118.13221693920558</v>
      </c>
    </row>
    <row r="175" spans="2:104">
      <c r="B175" s="135">
        <f t="shared" si="145"/>
        <v>6.9200000000000008</v>
      </c>
      <c r="C175" s="139">
        <f t="shared" si="92"/>
        <v>8317637.7110267365</v>
      </c>
      <c r="D175" s="139">
        <f t="shared" si="93"/>
        <v>52261259.056366034</v>
      </c>
      <c r="E175" s="32" t="str">
        <f t="shared" si="94"/>
        <v>52261259.056366i</v>
      </c>
      <c r="F175"/>
      <c r="G175" s="153" t="str">
        <f t="shared" si="129"/>
        <v>0.04+0.00250146734316436i</v>
      </c>
      <c r="H175" s="153" t="str">
        <f t="shared" si="130"/>
        <v>1+10.1505880659569i</v>
      </c>
      <c r="I175" t="str">
        <f t="shared" si="121"/>
        <v>0.000628554983952883-0.0038787353757455i</v>
      </c>
      <c r="J175"/>
      <c r="K175" t="str">
        <f t="shared" si="122"/>
        <v>0.04+0.00250146734316436i</v>
      </c>
      <c r="L175" t="str">
        <f t="shared" si="131"/>
        <v>5.43580907071529+55.1766586820228i</v>
      </c>
      <c r="M175" t="str">
        <f t="shared" si="123"/>
        <v>0.000115632277693332-0.000713552541173987i</v>
      </c>
      <c r="N175" s="153" t="str">
        <f t="shared" si="132"/>
        <v>0.0011+11.4974769924005i</v>
      </c>
      <c r="O175" s="135" t="str">
        <f t="shared" si="133"/>
        <v>0.000242+2.52944493832811i</v>
      </c>
      <c r="Q175" s="135" t="str">
        <f t="shared" si="134"/>
        <v>-52.261259056366i</v>
      </c>
      <c r="R175" s="135" t="str">
        <f t="shared" si="135"/>
        <v>-1106.9295534703</v>
      </c>
      <c r="S175" s="64" t="str">
        <f t="shared" si="124"/>
        <v>-1105.9295534703-52.261259056366i</v>
      </c>
      <c r="T175" s="135" t="str">
        <f t="shared" si="136"/>
        <v>-11.059295534703-0.52261259056366i</v>
      </c>
      <c r="U175" s="64" t="str">
        <f t="shared" si="125"/>
        <v>-11.0589379024253+2.00611879522328i</v>
      </c>
      <c r="W175" s="64" t="str">
        <f t="shared" si="126"/>
        <v>-0.000116622986534637+0.000329577382806713i</v>
      </c>
      <c r="X175" s="172">
        <f t="shared" si="95"/>
        <v>3.4960287791432838E-4</v>
      </c>
      <c r="Y175" s="188">
        <f t="shared" si="96"/>
        <v>-69.128500018626383</v>
      </c>
      <c r="Z175" s="161">
        <f t="shared" si="97"/>
        <v>109.48663899851012</v>
      </c>
      <c r="AA175" s="161">
        <f t="shared" si="128"/>
        <v>-109.48663899851012</v>
      </c>
      <c r="AB175" s="199"/>
      <c r="AC175" s="64" t="str">
        <f t="shared" si="137"/>
        <v>-1913.46327672943i</v>
      </c>
      <c r="AD175" s="64" t="str">
        <f t="shared" si="138"/>
        <v>22000-191.346327672943i</v>
      </c>
      <c r="AE175" s="64" t="str">
        <f t="shared" si="98"/>
        <v>164.915096936963-1897.68532764107i</v>
      </c>
      <c r="AF175" s="64" t="str">
        <f t="shared" si="139"/>
        <v>10000</v>
      </c>
      <c r="AG175" s="64" t="str">
        <f t="shared" si="140"/>
        <v>-49.0631609417804i</v>
      </c>
      <c r="AH175" s="64" t="str">
        <f t="shared" si="99"/>
        <v>0.240713581717582-49.0619799248603i</v>
      </c>
      <c r="AI175" s="64" t="str">
        <f t="shared" si="100"/>
        <v>38.6949070706665+3.17151300253395i</v>
      </c>
      <c r="AJ175" s="161">
        <f t="shared" si="101"/>
        <v>38.824661337000208</v>
      </c>
      <c r="AK175" s="161">
        <f t="shared" si="102"/>
        <v>31.782153522338511</v>
      </c>
      <c r="AL175" s="161">
        <f t="shared" si="103"/>
        <v>4.6856046570778132</v>
      </c>
      <c r="AN175" s="64" t="str">
        <f t="shared" si="104"/>
        <v>-0.00555797458117397+0.0123830948821103i</v>
      </c>
      <c r="AO175" s="161">
        <f t="shared" si="105"/>
        <v>1.357321333746443E-2</v>
      </c>
      <c r="AP175" s="161">
        <f t="shared" si="106"/>
        <v>-37.346346496287872</v>
      </c>
      <c r="AQ175" s="161">
        <f t="shared" si="107"/>
        <v>114.17224365558792</v>
      </c>
      <c r="AR175" s="64">
        <f t="shared" si="108"/>
        <v>-65.82775634441208</v>
      </c>
      <c r="AT175" s="135" t="str">
        <f t="shared" si="141"/>
        <v>-598.804594376954i</v>
      </c>
      <c r="AU175" s="135" t="str">
        <f t="shared" si="142"/>
        <v>27456.1383070198-107.181593855469i</v>
      </c>
      <c r="AV175" s="135" t="str">
        <f t="shared" si="109"/>
        <v>13.050998686703-598.469010956137i</v>
      </c>
      <c r="AW175" s="135" t="str">
        <f t="shared" si="143"/>
        <v>10000</v>
      </c>
      <c r="AX175" s="135" t="str">
        <f t="shared" si="144"/>
        <v>1789.92604368691-46.0247923677373i</v>
      </c>
      <c r="AY175" s="135" t="str">
        <f t="shared" si="110"/>
        <v>1518.31184224726-33.1102955982913i</v>
      </c>
      <c r="AZ175" s="135" t="str">
        <f t="shared" si="111"/>
        <v>0.0171832883832524-0.393792665354874i</v>
      </c>
      <c r="BA175" s="182">
        <f t="shared" si="112"/>
        <v>0.39416738663537071</v>
      </c>
      <c r="BB175" s="182">
        <f t="shared" si="113"/>
        <v>-8.0863862409201683</v>
      </c>
      <c r="BC175" s="182">
        <f t="shared" si="114"/>
        <v>-87.501462473170676</v>
      </c>
      <c r="BE175" s="135" t="str">
        <f t="shared" si="115"/>
        <v>0.000127781189606398+0.0000515884999224856i</v>
      </c>
      <c r="BF175" s="161">
        <f t="shared" si="116"/>
        <v>1.3780205274769507E-4</v>
      </c>
      <c r="BG175" s="161">
        <f t="shared" si="117"/>
        <v>-77.214886259546574</v>
      </c>
      <c r="BH175" s="161">
        <f t="shared" si="118"/>
        <v>21.985176525339494</v>
      </c>
      <c r="BI175" s="64">
        <f t="shared" si="119"/>
        <v>-158.01482347466052</v>
      </c>
      <c r="BV175" s="186">
        <v>8317637.7110267365</v>
      </c>
      <c r="BW175" s="64">
        <v>-53.696006518229133</v>
      </c>
      <c r="BX175" s="64">
        <v>-126.34645987993541</v>
      </c>
      <c r="CC175" s="186">
        <v>8317637.7110267365</v>
      </c>
      <c r="CD175" s="64">
        <v>-59.75681825722382</v>
      </c>
      <c r="CE175" s="64">
        <v>-118.22931628233481</v>
      </c>
      <c r="CJ175" s="64">
        <v>8317637.7110267365</v>
      </c>
      <c r="CK175" s="64">
        <v>-71.900180063870195</v>
      </c>
      <c r="CL175" s="64">
        <v>-127.1893491025143</v>
      </c>
      <c r="CQ175" s="186">
        <v>8317637.7110267365</v>
      </c>
      <c r="CR175" s="64">
        <v>-67.641729617400188</v>
      </c>
      <c r="CS175" s="64">
        <v>-110.56359995213371</v>
      </c>
      <c r="CX175" s="139">
        <v>8317637.7110267365</v>
      </c>
      <c r="CY175" s="64">
        <v>-61.032899054035965</v>
      </c>
      <c r="CZ175" s="64">
        <v>-116.68755822330215</v>
      </c>
    </row>
    <row r="176" spans="2:104">
      <c r="B176" s="135">
        <f t="shared" si="145"/>
        <v>6.9600000000000009</v>
      </c>
      <c r="C176" s="139">
        <f t="shared" si="92"/>
        <v>9120108.3935591392</v>
      </c>
      <c r="D176" s="139">
        <f t="shared" si="93"/>
        <v>57303331.058296002</v>
      </c>
      <c r="E176" s="32" t="str">
        <f t="shared" si="94"/>
        <v>57303331.058296i</v>
      </c>
      <c r="F176"/>
      <c r="G176" s="153" t="str">
        <f t="shared" si="129"/>
        <v>0.04+0.00227688900250095i</v>
      </c>
      <c r="H176" s="153" t="str">
        <f t="shared" si="130"/>
        <v>1+9.23587260491861i</v>
      </c>
      <c r="I176" t="str">
        <f t="shared" si="121"/>
        <v>0.000707162308265068-0.0042543719876354i</v>
      </c>
      <c r="J176"/>
      <c r="K176" t="str">
        <f t="shared" si="122"/>
        <v>0.04+0.00227688900250095i</v>
      </c>
      <c r="L176" t="str">
        <f t="shared" si="131"/>
        <v>5.43580907071529+50.2044400817874i</v>
      </c>
      <c r="M176" t="str">
        <f t="shared" si="123"/>
        <v>0.000130093294128893-0.000782656626141502i</v>
      </c>
      <c r="N176" s="153" t="str">
        <f t="shared" si="132"/>
        <v>0.0011+12.6067328328251i</v>
      </c>
      <c r="O176" s="135" t="str">
        <f t="shared" si="133"/>
        <v>0.000242+2.77348122322152i</v>
      </c>
      <c r="Q176" s="135" t="str">
        <f t="shared" si="134"/>
        <v>-57.303331058296i</v>
      </c>
      <c r="R176" s="135" t="str">
        <f t="shared" si="135"/>
        <v>-1330.82203376429</v>
      </c>
      <c r="S176" s="64" t="str">
        <f t="shared" si="124"/>
        <v>-1329.82203376429-57.303331058296i</v>
      </c>
      <c r="T176" s="135" t="str">
        <f t="shared" si="136"/>
        <v>-13.2982203376429-0.57303331058296i</v>
      </c>
      <c r="U176" s="64" t="str">
        <f t="shared" si="125"/>
        <v>-13.2978482443488+2.19966525601242i</v>
      </c>
      <c r="W176" s="64" t="str">
        <f t="shared" si="126"/>
        <v>-0.000103274054877033+0.00030284626228806i</v>
      </c>
      <c r="X176" s="172">
        <f t="shared" si="95"/>
        <v>3.1997091897951113E-4</v>
      </c>
      <c r="Y176" s="188">
        <f t="shared" si="96"/>
        <v>-69.89778982739216</v>
      </c>
      <c r="Z176" s="161">
        <f t="shared" si="97"/>
        <v>108.82996597762714</v>
      </c>
      <c r="AA176" s="161">
        <f t="shared" si="128"/>
        <v>-108.82996597762714</v>
      </c>
      <c r="AB176" s="199"/>
      <c r="AC176" s="64" t="str">
        <f t="shared" si="137"/>
        <v>-1745.09924908672i</v>
      </c>
      <c r="AD176" s="64" t="str">
        <f t="shared" si="138"/>
        <v>22000-174.509924908672i</v>
      </c>
      <c r="AE176" s="64" t="str">
        <f t="shared" si="98"/>
        <v>137.380039133138-1733.11215893018i</v>
      </c>
      <c r="AF176" s="64" t="str">
        <f t="shared" si="139"/>
        <v>10000</v>
      </c>
      <c r="AG176" s="64" t="str">
        <f t="shared" si="140"/>
        <v>-44.7461345919671i</v>
      </c>
      <c r="AH176" s="64" t="str">
        <f t="shared" si="99"/>
        <v>0.200217647301351-44.7452386953877i</v>
      </c>
      <c r="AI176" s="64" t="str">
        <f t="shared" si="100"/>
        <v>38.7458469276037+2.89689899077365i</v>
      </c>
      <c r="AJ176" s="161">
        <f t="shared" si="101"/>
        <v>38.853991788489921</v>
      </c>
      <c r="AK176" s="161">
        <f t="shared" si="102"/>
        <v>31.788712881094895</v>
      </c>
      <c r="AL176" s="161">
        <f t="shared" si="103"/>
        <v>4.2758605813537267</v>
      </c>
      <c r="AN176" s="64" t="str">
        <f t="shared" si="104"/>
        <v>-0.00487875575344032+0.0114348604158637i</v>
      </c>
      <c r="AO176" s="161">
        <f t="shared" si="105"/>
        <v>1.2432147458585485E-2</v>
      </c>
      <c r="AP176" s="161">
        <f t="shared" si="106"/>
        <v>-38.109076946297279</v>
      </c>
      <c r="AQ176" s="161">
        <f t="shared" si="107"/>
        <v>113.10582655898091</v>
      </c>
      <c r="AR176" s="64">
        <f t="shared" si="108"/>
        <v>-66.894173441019092</v>
      </c>
      <c r="AT176" s="135" t="str">
        <f t="shared" si="141"/>
        <v>-546.1162807279i</v>
      </c>
      <c r="AU176" s="135" t="str">
        <f t="shared" si="142"/>
        <v>27456.1383070198-97.75077537563i</v>
      </c>
      <c r="AV176" s="135" t="str">
        <f t="shared" si="109"/>
        <v>10.8565546918154-545.861686369777i</v>
      </c>
      <c r="AW176" s="135" t="str">
        <f t="shared" si="143"/>
        <v>10000</v>
      </c>
      <c r="AX176" s="135" t="str">
        <f t="shared" si="144"/>
        <v>1789.92604368691-41.9751095184815i</v>
      </c>
      <c r="AY176" s="135" t="str">
        <f t="shared" si="110"/>
        <v>1518.29009732622-30.1970258973217i</v>
      </c>
      <c r="AZ176" s="135" t="str">
        <f t="shared" si="111"/>
        <v>0.0142953733629634-0.35923965358837i</v>
      </c>
      <c r="BA176" s="182">
        <f t="shared" si="112"/>
        <v>0.35952397195441443</v>
      </c>
      <c r="BB176" s="182">
        <f t="shared" si="113"/>
        <v>-8.8854429378649815</v>
      </c>
      <c r="BC176" s="182">
        <f t="shared" si="114"/>
        <v>-87.721207476880338</v>
      </c>
      <c r="BE176" s="135" t="str">
        <f t="shared" si="115"/>
        <v>0.000107318045181721+0.0000414294360896774i</v>
      </c>
      <c r="BF176" s="161">
        <f t="shared" si="116"/>
        <v>1.1503721570141801E-4</v>
      </c>
      <c r="BG176" s="161">
        <f t="shared" si="117"/>
        <v>-78.783232765257139</v>
      </c>
      <c r="BH176" s="161">
        <f t="shared" si="118"/>
        <v>21.108758500746813</v>
      </c>
      <c r="BI176" s="64">
        <f t="shared" si="119"/>
        <v>-158.8912414992532</v>
      </c>
      <c r="BV176" s="186">
        <v>9120108.3935591392</v>
      </c>
      <c r="BW176" s="64">
        <v>-54.523661239429828</v>
      </c>
      <c r="BX176" s="64">
        <v>-126.07578234285653</v>
      </c>
      <c r="CC176" s="186">
        <v>9120108.3935591392</v>
      </c>
      <c r="CD176" s="64">
        <v>-60.495528529913116</v>
      </c>
      <c r="CE176" s="64">
        <v>-117.0599614601602</v>
      </c>
      <c r="CJ176" s="64">
        <v>9120108.3935591392</v>
      </c>
      <c r="CK176" s="64">
        <v>-72.482012970115491</v>
      </c>
      <c r="CL176" s="64">
        <v>-124.74046447874154</v>
      </c>
      <c r="CQ176" s="186">
        <v>9120108.3935591392</v>
      </c>
      <c r="CR176" s="64">
        <v>-68.425146958709888</v>
      </c>
      <c r="CS176" s="64">
        <v>-110.00125944516279</v>
      </c>
      <c r="CX176" s="139">
        <v>9120108.3935591392</v>
      </c>
      <c r="CY176" s="64">
        <v>-61.768642463296658</v>
      </c>
      <c r="CZ176" s="64">
        <v>-115.43708606592676</v>
      </c>
    </row>
    <row r="177" spans="2:104">
      <c r="B177" s="135">
        <f t="shared" si="145"/>
        <v>7.0000000000000009</v>
      </c>
      <c r="C177" s="139">
        <f t="shared" si="92"/>
        <v>10000000.000000041</v>
      </c>
      <c r="D177" s="139">
        <f t="shared" si="93"/>
        <v>62831853.071796119</v>
      </c>
      <c r="E177" s="32" t="str">
        <f t="shared" si="94"/>
        <v>62831853.0717961i</v>
      </c>
      <c r="F177"/>
      <c r="G177" s="153" t="str">
        <f t="shared" si="129"/>
        <v>0.04+0.00207317313732187i</v>
      </c>
      <c r="H177" s="153" t="str">
        <f t="shared" si="130"/>
        <v>1+8.40693102447984i</v>
      </c>
      <c r="I177" t="str">
        <f t="shared" si="121"/>
        <v>0.000801225397168565-0.00466267351173572i</v>
      </c>
      <c r="J177"/>
      <c r="K177" t="str">
        <f t="shared" si="122"/>
        <v>0.04+0.00207317313732187i</v>
      </c>
      <c r="L177" t="str">
        <f t="shared" si="131"/>
        <v>5.43580907071529+45.6984719197453i</v>
      </c>
      <c r="M177" t="str">
        <f t="shared" si="123"/>
        <v>0.000147397634233524-0.000857769920002391i</v>
      </c>
      <c r="N177" s="153" t="str">
        <f t="shared" si="132"/>
        <v>0.0011+13.8230076757951i</v>
      </c>
      <c r="O177" s="135" t="str">
        <f t="shared" si="133"/>
        <v>0.000242+3.04106168867492i</v>
      </c>
      <c r="Q177" s="135" t="str">
        <f t="shared" si="134"/>
        <v>-62.8318530717961i</v>
      </c>
      <c r="R177" s="135" t="str">
        <f t="shared" si="135"/>
        <v>-1600.00000000001</v>
      </c>
      <c r="S177" s="64" t="str">
        <f t="shared" si="124"/>
        <v>-1599.00000000001-62.8318530717961i</v>
      </c>
      <c r="T177" s="135" t="str">
        <f t="shared" si="136"/>
        <v>-15.9900000000001-0.628318530717961i</v>
      </c>
      <c r="U177" s="64" t="str">
        <f t="shared" si="125"/>
        <v>-15.9896106023659+2.41188538803696i</v>
      </c>
      <c r="W177" s="64" t="str">
        <f t="shared" si="126"/>
        <v>-0.0000920019545694796+0.000277728798547581i</v>
      </c>
      <c r="X177" s="172">
        <f t="shared" si="95"/>
        <v>2.9257075244680118E-4</v>
      </c>
      <c r="Y177" s="188">
        <f t="shared" si="96"/>
        <v>-70.675381827087577</v>
      </c>
      <c r="Z177" s="161">
        <f t="shared" si="97"/>
        <v>108.32824970536372</v>
      </c>
      <c r="AA177" s="161">
        <f t="shared" si="128"/>
        <v>-108.32824970536372</v>
      </c>
      <c r="AB177" s="199"/>
      <c r="AC177" s="64" t="str">
        <f t="shared" si="137"/>
        <v>-1591.54943091895i</v>
      </c>
      <c r="AD177" s="64" t="str">
        <f t="shared" si="138"/>
        <v>22000-159.154943091895i</v>
      </c>
      <c r="AE177" s="64" t="str">
        <f t="shared" si="98"/>
        <v>114.413178765922-1582.44471944122i</v>
      </c>
      <c r="AF177" s="64" t="str">
        <f t="shared" si="139"/>
        <v>10000</v>
      </c>
      <c r="AG177" s="64" t="str">
        <f t="shared" si="140"/>
        <v>-40.8089597671525i</v>
      </c>
      <c r="AH177" s="64" t="str">
        <f t="shared" si="99"/>
        <v>0.16653434631267-40.8082801578087i</v>
      </c>
      <c r="AI177" s="64" t="str">
        <f t="shared" si="100"/>
        <v>38.788335619283+2.64538442275792i</v>
      </c>
      <c r="AJ177" s="161">
        <f t="shared" si="101"/>
        <v>38.878439254403062</v>
      </c>
      <c r="AK177" s="161">
        <f t="shared" si="102"/>
        <v>31.794176443600392</v>
      </c>
      <c r="AL177" s="161">
        <f t="shared" si="103"/>
        <v>3.9015599704220145</v>
      </c>
      <c r="AN177" s="64" t="str">
        <f t="shared" si="104"/>
        <v>-0.00430330212890005+0.0105292573117224i</v>
      </c>
      <c r="AO177" s="161">
        <f t="shared" si="105"/>
        <v>1.137469422661793E-2</v>
      </c>
      <c r="AP177" s="161">
        <f t="shared" si="106"/>
        <v>-38.881205383487206</v>
      </c>
      <c r="AQ177" s="161">
        <f t="shared" si="107"/>
        <v>112.22980967578582</v>
      </c>
      <c r="AR177" s="64">
        <f t="shared" si="108"/>
        <v>-67.770190324214184</v>
      </c>
      <c r="AT177" s="135" t="str">
        <f t="shared" si="141"/>
        <v>-498.06396757258i</v>
      </c>
      <c r="AU177" s="135" t="str">
        <f t="shared" si="142"/>
        <v>27456.1383070198-89.1497666980193i</v>
      </c>
      <c r="AV177" s="135" t="str">
        <f t="shared" si="109"/>
        <v>9.03092394849268-497.870820141707i</v>
      </c>
      <c r="AW177" s="135" t="str">
        <f t="shared" si="143"/>
        <v>10000</v>
      </c>
      <c r="AX177" s="135" t="str">
        <f t="shared" si="144"/>
        <v>1789.92604368691-38.2817548640065i</v>
      </c>
      <c r="AY177" s="135" t="str">
        <f t="shared" si="110"/>
        <v>1518.27201060375-27.5400736620493i</v>
      </c>
      <c r="AZ177" s="135" t="str">
        <f t="shared" si="111"/>
        <v>0.0118924059042101-0.327703665043021i</v>
      </c>
      <c r="BA177" s="182">
        <f t="shared" si="112"/>
        <v>0.32791938247200181</v>
      </c>
      <c r="BB177" s="182">
        <f t="shared" si="113"/>
        <v>-9.6846582508239312</v>
      </c>
      <c r="BC177" s="182">
        <f t="shared" si="114"/>
        <v>-87.92164124592432</v>
      </c>
      <c r="BE177" s="135" t="str">
        <f t="shared" si="115"/>
        <v>0.0000899186205843162+0.0000334522413071564i</v>
      </c>
      <c r="BF177" s="161">
        <f t="shared" si="116"/>
        <v>9.5939620471723958E-5</v>
      </c>
      <c r="BG177" s="161">
        <f t="shared" si="117"/>
        <v>-80.360040077911506</v>
      </c>
      <c r="BH177" s="161">
        <f t="shared" si="118"/>
        <v>20.406608459439404</v>
      </c>
      <c r="BI177" s="64">
        <f t="shared" si="119"/>
        <v>-159.59339154056059</v>
      </c>
      <c r="BV177" s="186">
        <v>10000000.000000041</v>
      </c>
      <c r="BW177" s="64">
        <v>-55.36949316568905</v>
      </c>
      <c r="BX177" s="64">
        <v>-126.05484591708465</v>
      </c>
      <c r="CC177" s="186">
        <v>10000000.000000041</v>
      </c>
      <c r="CD177" s="64">
        <v>-61.248178965686328</v>
      </c>
      <c r="CE177" s="64">
        <v>-116.09135844300165</v>
      </c>
      <c r="CJ177" s="64">
        <v>10000000.000000041</v>
      </c>
      <c r="CK177" s="64">
        <v>-73.092729356484867</v>
      </c>
      <c r="CL177" s="64">
        <v>-122.44134679199831</v>
      </c>
      <c r="CQ177" s="186">
        <v>10000000.000000041</v>
      </c>
      <c r="CR177" s="64">
        <v>-69.215688271726805</v>
      </c>
      <c r="CS177" s="64">
        <v>-109.60153046445458</v>
      </c>
      <c r="CX177" s="139">
        <v>10000000.000000041</v>
      </c>
      <c r="CY177" s="64">
        <v>-62.517505958063488</v>
      </c>
      <c r="CZ177" s="64">
        <v>-114.37666832036268</v>
      </c>
    </row>
    <row r="178" spans="2:104" s="87" customFormat="1">
      <c r="B178" s="85" t="s">
        <v>128</v>
      </c>
      <c r="C178" s="184">
        <f>Fc*1000</f>
        <v>83333.333333333328</v>
      </c>
      <c r="D178" s="184">
        <f t="shared" si="93"/>
        <v>523598.77559829882</v>
      </c>
      <c r="E178" s="85" t="str">
        <f t="shared" si="94"/>
        <v>523598.775598299i</v>
      </c>
      <c r="F178" s="166"/>
      <c r="G178" s="166" t="str">
        <f>IMPRODUCT(Ro_p,IMSUM(1,IMPRODUCT(AF328*AC328,E178)))</f>
        <v>0.04+0.0228057564713818i</v>
      </c>
      <c r="H178" s="166" t="str">
        <f>IMSUM(1,IMPRODUCT((Ro_p+AC328)*AF328,E178))</f>
        <v>1+12.6180400936555i</v>
      </c>
      <c r="I178" s="166" t="str">
        <f>IMDIV(G178,H178)</f>
        <v>0.00204577649315271-0.00300793334187701i</v>
      </c>
      <c r="J178" s="166"/>
      <c r="K178" s="166" t="str">
        <f>G178</f>
        <v>0.04+0.0228057564713818i</v>
      </c>
      <c r="L178" s="166" t="str">
        <f t="shared" si="131"/>
        <v>5.43580907071529+68.5892567957417i</v>
      </c>
      <c r="M178" s="166" t="str">
        <f>IMDIV(K178,L178)</f>
        <v>0.000376351793548832-0.000553355223251284i</v>
      </c>
      <c r="N178" s="166" t="str">
        <f t="shared" si="132"/>
        <v>0.0011+0.115191730631626i</v>
      </c>
      <c r="O178" s="87" t="str">
        <f>IMPRODUCT((1/Np/Kmp),N178)</f>
        <v>0.000242+0.0253421807389577i</v>
      </c>
      <c r="Q178" s="87" t="str">
        <f t="shared" si="134"/>
        <v>-0.523598775598299i</v>
      </c>
      <c r="R178" s="87" t="str">
        <f t="shared" si="135"/>
        <v>-0.111111111111111</v>
      </c>
      <c r="S178" s="87" t="str">
        <f>IMSUM(1,Q178,R178)</f>
        <v>0.888888888888889-0.523598775598299i</v>
      </c>
      <c r="T178" s="87" t="str">
        <f>IMPRODUCT(Ri/Np,S178)</f>
        <v>0.00888888888888889-0.00523598775598299i</v>
      </c>
      <c r="U178" s="87" t="str">
        <f>IMSUM(T178,O178,M178)</f>
        <v>0.00950724068243772+0.0195528377597234i</v>
      </c>
      <c r="W178" s="87" t="str">
        <f>IMDIV(I178,U178)</f>
        <v>-0.0832744919950228-0.145118942126243i</v>
      </c>
      <c r="X178" s="173">
        <f>IMABS(W178)</f>
        <v>0.16731451933669411</v>
      </c>
      <c r="Y178" s="198">
        <f>20*LOG10(X178)</f>
        <v>-15.529327397823192</v>
      </c>
      <c r="Z178" s="185">
        <f>180*IMARGUMENT(W178)/PI()</f>
        <v>-119.84876116462888</v>
      </c>
      <c r="AA178" s="185">
        <f t="shared" si="128"/>
        <v>-119.84876116462888</v>
      </c>
      <c r="AC178" s="87" t="str">
        <f>COMPLEX(0,-1/D178/_C1u)</f>
        <v>-190985.931710274i</v>
      </c>
      <c r="AD178" s="87" t="str">
        <f>COMPLEX(_R2u, -1/D178/_C2u)</f>
        <v>22000-19098.5931710274i</v>
      </c>
      <c r="AE178" s="87" t="str">
        <f>IMDIV(IMPRODUCT(AC178,AD178),IMSUM(AC178,AD178))</f>
        <v>17984.5950282157-19245.6998154877i</v>
      </c>
      <c r="AF178" s="87" t="str">
        <f t="shared" si="139"/>
        <v>10000</v>
      </c>
      <c r="AG178" s="87" t="str">
        <f>COMPLEX(_R3u,-1/D178/_C3u)</f>
        <v>-4897.07517205832i</v>
      </c>
      <c r="AH178" s="87" t="str">
        <f>IMDIV(IMPRODUCT(AF178,AG178),IMSUM(AF178,AG178))</f>
        <v>1934.27044965634-3949.84839255251i</v>
      </c>
      <c r="AI178" s="87" t="str">
        <f>IMDIV(AE178,AH178)</f>
        <v>5.72849919780105+1.74794767364917i</v>
      </c>
      <c r="AJ178" s="185">
        <f>IMABS(AI178)</f>
        <v>5.9892423668626753</v>
      </c>
      <c r="AK178" s="185">
        <f>20*LOG10(AJ178)</f>
        <v>15.547437760970453</v>
      </c>
      <c r="AL178" s="185">
        <f>180*IMARGUMENT(AI178)/PI()</f>
        <v>16.968618196590107</v>
      </c>
      <c r="AN178" s="87" t="str">
        <f>IMPRODUCT(AI178,W178)</f>
        <v>-0.223377543298783-0.976873198112937i</v>
      </c>
      <c r="AO178" s="185">
        <f>IMABS(AN178)</f>
        <v>1.0020872078025931</v>
      </c>
      <c r="AP178" s="185">
        <f>20*LOG10(AO178)</f>
        <v>1.8110363147265475E-2</v>
      </c>
      <c r="AQ178" s="185">
        <f>180*IMARGUMENT(AN178)/PI()</f>
        <v>-102.88014296803875</v>
      </c>
      <c r="AR178" s="87">
        <f>IF(AQ178&gt;0,AQ178-180,AQ178+180)</f>
        <v>77.119857031961246</v>
      </c>
      <c r="AT178" s="87" t="str">
        <f>COMPLEX(0,-1/D178/_C1c)</f>
        <v>-59767.6761087098i</v>
      </c>
      <c r="AU178" s="87" t="str">
        <f>COMPLEX(_R2c, -1/D178/_C2c)</f>
        <v>27456.1383070198-10697.9720037624i</v>
      </c>
      <c r="AV178" s="87" t="str">
        <f>IMDIV(IMPRODUCT(AT178,AU178),IMSUM(AT178,AU178))</f>
        <v>17148.7841290296-15755.6532058388i</v>
      </c>
      <c r="AW178" s="87" t="str">
        <f t="shared" si="143"/>
        <v>10000</v>
      </c>
      <c r="AX178" s="87" t="str">
        <f>COMPLEX(_R3c,-1/D178/_C3c)</f>
        <v>1789.92604368691-4593.8105836808i</v>
      </c>
      <c r="AY178" s="87" t="str">
        <f>IMDIV(IMPRODUCT(AW178,AX178),IMSUM(AW178,AX178))</f>
        <v>2636.14954297055-2869.24057375732i</v>
      </c>
      <c r="AZ178" s="87" t="str">
        <f>IMDIV(AV178,AY178)</f>
        <v>5.95537846272702+0.505191488490959i</v>
      </c>
      <c r="BA178" s="185">
        <f>IMABS(AZ178)</f>
        <v>5.9767676108709926</v>
      </c>
      <c r="BB178" s="185">
        <f>20*LOG10(BA178)</f>
        <v>15.529327397823208</v>
      </c>
      <c r="BC178" s="185">
        <f>180*IMARGUMENT(AZ178)/PI()</f>
        <v>4.8487611646287423</v>
      </c>
      <c r="BE178" s="87" t="str">
        <f>IMPRODUCT(AZ178,W178)</f>
        <v>-0.422618261740702-0.90630778703665i</v>
      </c>
      <c r="BF178" s="185">
        <f>IMABS(BE178)</f>
        <v>1.0000000000000011</v>
      </c>
      <c r="BG178" s="185">
        <f>20*LOG10(BF178)</f>
        <v>9.6432746655328662E-15</v>
      </c>
      <c r="BH178" s="185">
        <f>180*IMARGUMENT(BE178)/PI()</f>
        <v>-115.00000000000011</v>
      </c>
      <c r="BI178" s="87">
        <f>IF(BH178&gt;0,BH178-180,BH178+180)</f>
        <v>64.999999999999886</v>
      </c>
    </row>
    <row r="179" spans="2:104">
      <c r="B179" s="86"/>
      <c r="C179" s="165"/>
      <c r="F179"/>
      <c r="G179"/>
      <c r="H179"/>
      <c r="I179"/>
      <c r="J179"/>
      <c r="K179"/>
      <c r="L179"/>
      <c r="M179"/>
      <c r="N179"/>
    </row>
    <row r="180" spans="2:104">
      <c r="B180" s="86"/>
      <c r="C180" s="165"/>
      <c r="F180"/>
      <c r="G180"/>
      <c r="H180"/>
      <c r="I180"/>
      <c r="J180"/>
      <c r="K180"/>
      <c r="L180"/>
      <c r="M180"/>
      <c r="N180"/>
    </row>
    <row r="181" spans="2:104">
      <c r="B181" s="86"/>
      <c r="C181" s="165"/>
      <c r="F181"/>
      <c r="G181"/>
      <c r="H181"/>
      <c r="I181"/>
      <c r="J181"/>
      <c r="K181"/>
      <c r="L181"/>
      <c r="M181"/>
      <c r="N181"/>
    </row>
    <row r="182" spans="2:104">
      <c r="B182" s="86"/>
      <c r="C182" s="165"/>
      <c r="F182"/>
      <c r="G182"/>
      <c r="H182"/>
      <c r="I182"/>
      <c r="J182"/>
      <c r="K182"/>
      <c r="L182"/>
      <c r="M182"/>
      <c r="N182"/>
    </row>
    <row r="183" spans="2:104">
      <c r="B183" s="86"/>
      <c r="C183" s="165"/>
      <c r="F183"/>
      <c r="G183"/>
      <c r="H183"/>
      <c r="I183"/>
      <c r="J183"/>
      <c r="K183"/>
      <c r="L183"/>
      <c r="M183"/>
      <c r="N183"/>
    </row>
    <row r="184" spans="2:104">
      <c r="B184" s="86"/>
      <c r="C184" s="165"/>
      <c r="F184"/>
      <c r="G184"/>
      <c r="H184"/>
      <c r="I184"/>
      <c r="J184"/>
      <c r="K184"/>
      <c r="L184"/>
      <c r="M184"/>
      <c r="N184"/>
    </row>
    <row r="185" spans="2:104">
      <c r="B185" s="86"/>
      <c r="C185" s="165"/>
      <c r="F185"/>
      <c r="G185"/>
      <c r="H185"/>
      <c r="I185"/>
      <c r="J185"/>
      <c r="K185"/>
      <c r="L185"/>
      <c r="M185"/>
      <c r="N185"/>
    </row>
    <row r="186" spans="2:104">
      <c r="B186" s="135" t="s">
        <v>348</v>
      </c>
      <c r="C186" s="148"/>
      <c r="D186" s="140"/>
      <c r="E186" s="140"/>
      <c r="F186"/>
      <c r="G186"/>
      <c r="H186"/>
      <c r="I186"/>
      <c r="J186"/>
      <c r="K186"/>
      <c r="L186"/>
      <c r="M186"/>
      <c r="N186"/>
    </row>
    <row r="187" spans="2:104">
      <c r="B187" s="135" t="s">
        <v>423</v>
      </c>
      <c r="C187" s="148"/>
      <c r="D187" s="140"/>
      <c r="E187" s="140"/>
      <c r="F187"/>
      <c r="G187"/>
      <c r="H187"/>
      <c r="I187"/>
      <c r="J187"/>
      <c r="K187"/>
      <c r="L187"/>
      <c r="M187"/>
      <c r="N187"/>
    </row>
    <row r="188" spans="2:104">
      <c r="B188" s="153"/>
      <c r="C188" s="153"/>
      <c r="D188" s="153"/>
      <c r="E188" s="153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</row>
    <row r="189" spans="2:104">
      <c r="B189" s="153"/>
      <c r="C189" s="153">
        <f>IF(Nbulk=0,1E-20,E189)</f>
        <v>4.6999999999999999E-4</v>
      </c>
      <c r="D189" s="153" t="s">
        <v>206</v>
      </c>
      <c r="E189" s="153">
        <f>Front!G93*0.000001</f>
        <v>4.6999999999999999E-4</v>
      </c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</row>
    <row r="190" spans="2:104">
      <c r="B190" s="153"/>
      <c r="C190" s="153">
        <f>IF(Nbulk=0,1000000000,E190)</f>
        <v>6.0000000000000001E-3</v>
      </c>
      <c r="D190" s="153" t="s">
        <v>349</v>
      </c>
      <c r="E190" s="153">
        <f>Front!G96/Front!G94*0.001</f>
        <v>6.0000000000000001E-3</v>
      </c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</row>
    <row r="191" spans="2:104">
      <c r="B191" s="153"/>
      <c r="C191" s="153">
        <f>IF(Nbulk=0,1E-20,E191)</f>
        <v>1.0000000000000001E-9</v>
      </c>
      <c r="D191" s="153" t="s">
        <v>350</v>
      </c>
      <c r="E191" s="153">
        <f>Front!G97/Front!G94*0.000000001</f>
        <v>1.0000000000000001E-9</v>
      </c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</row>
    <row r="192" spans="2:104">
      <c r="B192" s="153"/>
      <c r="C192" s="153"/>
      <c r="D192" s="153"/>
      <c r="E192" s="153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</row>
    <row r="193" spans="2:32">
      <c r="B193" s="153"/>
      <c r="C193" s="153">
        <f>Front!G98*0.000001</f>
        <v>2.9328000000000004E-4</v>
      </c>
      <c r="D193" s="153" t="s">
        <v>351</v>
      </c>
      <c r="E193" s="15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</row>
    <row r="194" spans="2:32">
      <c r="B194" s="153"/>
      <c r="C194" s="153">
        <f>Front!G102/Front!G99*0.001</f>
        <v>2.5000000000000001E-4</v>
      </c>
      <c r="D194" s="153" t="s">
        <v>352</v>
      </c>
      <c r="E194" s="153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</row>
    <row r="195" spans="2:32">
      <c r="B195" s="153"/>
      <c r="C195" s="153">
        <f>Front!G103/Front!G99*0.000000001</f>
        <v>8.333333333333333E-11</v>
      </c>
      <c r="D195" s="153" t="s">
        <v>353</v>
      </c>
      <c r="E195" s="153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 s="136"/>
    </row>
    <row r="196" spans="2:32" s="87" customFormat="1"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 s="136"/>
      <c r="Y196" s="198"/>
    </row>
    <row r="197" spans="2:32" s="154" customFormat="1">
      <c r="B197" s="155"/>
      <c r="C197" s="316" t="s">
        <v>267</v>
      </c>
      <c r="D197" s="316" t="s">
        <v>268</v>
      </c>
      <c r="E197" s="316" t="s">
        <v>150</v>
      </c>
      <c r="F197" s="316"/>
      <c r="G197" s="316" t="s">
        <v>357</v>
      </c>
      <c r="H197" s="316" t="s">
        <v>354</v>
      </c>
      <c r="I197" s="316" t="s">
        <v>355</v>
      </c>
      <c r="J197" s="316"/>
      <c r="K197" s="316" t="s">
        <v>356</v>
      </c>
      <c r="L197" s="316"/>
      <c r="M197" s="316" t="s">
        <v>361</v>
      </c>
      <c r="N197" s="316" t="s">
        <v>360</v>
      </c>
      <c r="O197" s="316" t="s">
        <v>359</v>
      </c>
      <c r="P197" s="316"/>
      <c r="Q197" s="316" t="s">
        <v>358</v>
      </c>
      <c r="R197" s="316"/>
      <c r="S197" s="316" t="s">
        <v>222</v>
      </c>
      <c r="T197" s="316" t="s">
        <v>362</v>
      </c>
      <c r="U197" s="316" t="s">
        <v>363</v>
      </c>
      <c r="V197" s="317"/>
      <c r="W197" s="318"/>
      <c r="X197" s="318"/>
      <c r="Y197" s="318" t="s">
        <v>364</v>
      </c>
      <c r="Z197" s="248" t="s">
        <v>365</v>
      </c>
      <c r="AA197" s="318" t="s">
        <v>366</v>
      </c>
      <c r="AB197" s="318"/>
      <c r="AC197" s="318" t="s">
        <v>368</v>
      </c>
      <c r="AD197" s="318" t="s">
        <v>367</v>
      </c>
      <c r="AE197" s="318"/>
      <c r="AF197" s="318" t="s">
        <v>369</v>
      </c>
    </row>
    <row r="198" spans="2:32" s="237" customFormat="1">
      <c r="B198" s="236" t="s">
        <v>22</v>
      </c>
      <c r="C198" s="236">
        <f>Fsw*1000</f>
        <v>500000</v>
      </c>
      <c r="D198" s="322">
        <f>C198*2*PI()</f>
        <v>3141592.653589793</v>
      </c>
      <c r="E198" s="322" t="str">
        <f>COMPLEX(0,D198)</f>
        <v>3141592.65358979i</v>
      </c>
      <c r="F198" s="236"/>
      <c r="G198" s="323">
        <f>-1/(D198*C$189)</f>
        <v>-6.7725507698678867E-4</v>
      </c>
      <c r="H198" s="236">
        <f>D198*C$191</f>
        <v>3.1415926535897933E-3</v>
      </c>
      <c r="I198" s="323">
        <f>H198+G198</f>
        <v>2.4643375766030045E-3</v>
      </c>
      <c r="J198" s="236"/>
      <c r="K198" s="236" t="str">
        <f>COMPLEX(C$190,I198)</f>
        <v>0.006+0.002464337576603i</v>
      </c>
      <c r="L198" s="236"/>
      <c r="M198" s="236">
        <f>-1/(D198*C$193)</f>
        <v>-1.0853446746583151E-3</v>
      </c>
      <c r="N198" s="236">
        <f>D198*C$195</f>
        <v>2.6179938779914941E-4</v>
      </c>
      <c r="O198" s="236">
        <f>N198+M198</f>
        <v>-8.2354528685916572E-4</v>
      </c>
      <c r="P198" s="236"/>
      <c r="Q198" s="236" t="str">
        <f>COMPLEX(C$194,O198)</f>
        <v>0.00025-0.000823545286859166i</v>
      </c>
      <c r="R198" s="236"/>
      <c r="S198" s="236" t="str">
        <f>IMPRODUCT(Q198,K198)</f>
        <v>3.52949359644134E-06-4.32518732700425E-06i</v>
      </c>
      <c r="T198" s="236" t="str">
        <f>IMSUM(Q198,K198)</f>
        <v>0.00625+0.00164079228974383i</v>
      </c>
      <c r="U198" s="236" t="str">
        <f>IMDIV(S198,T198)</f>
        <v>0.000358345316745349-0.000786105209565732i</v>
      </c>
      <c r="V198" s="324"/>
      <c r="Y198" s="237">
        <f>IMABS(U198)</f>
        <v>8.6392868139662307E-4</v>
      </c>
      <c r="Z198" s="237">
        <f>IMARGUMENT(U198)</f>
        <v>-1.1430889833594446</v>
      </c>
      <c r="AA198" s="237">
        <f>Z198*180/PI()</f>
        <v>-65.494174354396165</v>
      </c>
      <c r="AC198" s="237">
        <f>Y198*COS(Z198)</f>
        <v>3.5834531674534896E-4</v>
      </c>
      <c r="AD198" s="237">
        <f>Y198*SIN(Z198)</f>
        <v>-7.861052095657319E-4</v>
      </c>
      <c r="AE198" s="237">
        <f>-1/(AD198*D198)</f>
        <v>4.0492020954756758E-4</v>
      </c>
      <c r="AF198" s="237">
        <f>ABS(AE198)</f>
        <v>4.0492020954756758E-4</v>
      </c>
    </row>
    <row r="199" spans="2:32" s="237" customFormat="1">
      <c r="B199" s="236" t="s">
        <v>388</v>
      </c>
      <c r="C199" s="236">
        <f>C198*Np</f>
        <v>500000</v>
      </c>
      <c r="D199" s="322">
        <f>C199*2*PI()</f>
        <v>3141592.653589793</v>
      </c>
      <c r="E199" s="322" t="str">
        <f>COMPLEX(0,D199)</f>
        <v>3141592.65358979i</v>
      </c>
      <c r="F199" s="236"/>
      <c r="G199" s="323">
        <f>-1/(D199*C$189)</f>
        <v>-6.7725507698678867E-4</v>
      </c>
      <c r="H199" s="236">
        <v>0</v>
      </c>
      <c r="I199" s="323">
        <f>H199+G199</f>
        <v>-6.7725507698678867E-4</v>
      </c>
      <c r="J199" s="236"/>
      <c r="K199" s="236" t="str">
        <f>COMPLEX(C$190,I199)</f>
        <v>0.006-0.000677255076986789i</v>
      </c>
      <c r="L199" s="236"/>
      <c r="M199" s="236">
        <f>-1/(D199*C$193)</f>
        <v>-1.0853446746583151E-3</v>
      </c>
      <c r="N199" s="236">
        <v>0</v>
      </c>
      <c r="O199" s="236">
        <f>N199+M199</f>
        <v>-1.0853446746583151E-3</v>
      </c>
      <c r="P199" s="236"/>
      <c r="Q199" s="236" t="str">
        <f>COMPLEX(C$194,O199)</f>
        <v>0.00025-0.00108534467465832i</v>
      </c>
      <c r="R199" s="236"/>
      <c r="S199" s="236" t="str">
        <f>IMPRODUCT(Q199,K199)</f>
        <v>7.64944808807078E-07-6.68138181719662E-06i</v>
      </c>
      <c r="T199" s="236" t="str">
        <f>IMSUM(Q199,K199)</f>
        <v>0.00625-0.00176259975164511i</v>
      </c>
      <c r="U199" s="236" t="str">
        <f>IMDIV(S199,T199)</f>
        <v>0.000392644021197427-0.000958289210071855i</v>
      </c>
      <c r="V199" s="324"/>
      <c r="Y199" s="237">
        <f>IMABS(U199)</f>
        <v>1.035609741901951E-3</v>
      </c>
      <c r="Z199" s="237">
        <f>IMARGUMENT(U199)</f>
        <v>-1.1819265244981021</v>
      </c>
      <c r="AA199" s="237">
        <f>Z199*180/PI()</f>
        <v>-67.719401548306948</v>
      </c>
      <c r="AC199" s="237">
        <f>Y199*COS(Z199)</f>
        <v>3.9264402119742705E-4</v>
      </c>
      <c r="AD199" s="237">
        <f>Y199*SIN(Z199)</f>
        <v>-9.5828921007185507E-4</v>
      </c>
      <c r="AE199" s="237">
        <f>-1/(AD199*D199)</f>
        <v>3.3216473987004709E-4</v>
      </c>
      <c r="AF199" s="237">
        <f>ABS(AE199)</f>
        <v>3.3216473987004709E-4</v>
      </c>
    </row>
    <row r="200" spans="2:32" s="141" customFormat="1">
      <c r="B200" s="163"/>
      <c r="C200" s="319">
        <f t="shared" ref="C200:E219" si="146">C50</f>
        <v>10</v>
      </c>
      <c r="D200" s="319">
        <f t="shared" si="146"/>
        <v>62.831853071795862</v>
      </c>
      <c r="E200" s="319" t="str">
        <f t="shared" si="146"/>
        <v>62.8318530717959i</v>
      </c>
      <c r="F200" s="153"/>
      <c r="G200" s="320">
        <f>-1/(D200*C$189)</f>
        <v>-33.862753849339434</v>
      </c>
      <c r="H200" s="153">
        <f>D200*C$191</f>
        <v>6.2831853071795862E-8</v>
      </c>
      <c r="I200" s="320">
        <f>H200+G200</f>
        <v>-33.862753786507582</v>
      </c>
      <c r="J200" s="153"/>
      <c r="K200" s="153" t="str">
        <f>COMPLEX(C$190,I200)</f>
        <v>0.006-33.8627537865076i</v>
      </c>
      <c r="L200" s="153"/>
      <c r="M200" s="153">
        <f>-1/(D200*C$193)</f>
        <v>-54.267233732915756</v>
      </c>
      <c r="N200" s="153">
        <f>D200*C$195</f>
        <v>5.2359877559829882E-9</v>
      </c>
      <c r="O200" s="153">
        <f>N200+M200</f>
        <v>-54.267233727679766</v>
      </c>
      <c r="P200" s="153"/>
      <c r="Q200" s="153" t="str">
        <f>COMPLEX(C$194,O200)</f>
        <v>0.00025-54.2672337276798i</v>
      </c>
      <c r="R200" s="153"/>
      <c r="S200" s="153" t="str">
        <f>IMPRODUCT(Q200,K200)</f>
        <v>-1837.63797289528-0.334069090812706i</v>
      </c>
      <c r="T200" s="153" t="str">
        <f>IMSUM(Q200,K200)</f>
        <v>0.00625-88.1299875141874i</v>
      </c>
      <c r="U200" s="153" t="str">
        <f>IMDIV(S200,T200)</f>
        <v>0.00231189787895898-20.851449536956i</v>
      </c>
      <c r="V200" s="321"/>
      <c r="W200" s="135"/>
      <c r="X200" s="135"/>
      <c r="Y200" s="135">
        <f>IMABS(U200)</f>
        <v>20.851449665121471</v>
      </c>
      <c r="Z200" s="135">
        <f>IMARGUMENT(U200)</f>
        <v>-1.5706854521113218</v>
      </c>
      <c r="AA200" s="135">
        <f>Z200*180/PI()</f>
        <v>-89.993647348576332</v>
      </c>
      <c r="AB200" s="135"/>
      <c r="AC200" s="135">
        <f>Y200*COS(Z200)</f>
        <v>2.3118978789593739E-3</v>
      </c>
      <c r="AD200" s="135">
        <f>Y200*SIN(Z200)</f>
        <v>-20.851449536956</v>
      </c>
      <c r="AE200" s="135">
        <f>-1/(AD200*D200)</f>
        <v>7.6327999552173857E-4</v>
      </c>
      <c r="AF200" s="135">
        <f>ABS(AE200)</f>
        <v>7.6327999552173857E-4</v>
      </c>
    </row>
    <row r="201" spans="2:32" s="141" customFormat="1">
      <c r="B201" s="163"/>
      <c r="C201" s="319">
        <f t="shared" si="146"/>
        <v>50.118723362727238</v>
      </c>
      <c r="D201" s="319">
        <f t="shared" si="146"/>
        <v>314.90522624728607</v>
      </c>
      <c r="E201" s="319" t="str">
        <f t="shared" si="146"/>
        <v>314.905226247286i</v>
      </c>
      <c r="F201" s="153"/>
      <c r="G201" s="320">
        <f t="shared" ref="G201:G264" si="147">-1/(D201*C$189)</f>
        <v>-6.7565076636654329</v>
      </c>
      <c r="H201" s="153">
        <f t="shared" ref="H201:H264" si="148">D201*C$191</f>
        <v>3.1490522624728608E-7</v>
      </c>
      <c r="I201" s="320">
        <f t="shared" ref="I201:I264" si="149">H201+G201</f>
        <v>-6.7565073487602065</v>
      </c>
      <c r="J201" s="153"/>
      <c r="K201" s="153" t="str">
        <f t="shared" ref="K201:K264" si="150">COMPLEX(C$190,I201)</f>
        <v>0.006-6.75650734876021i</v>
      </c>
      <c r="L201" s="153"/>
      <c r="M201" s="153">
        <f t="shared" ref="M201:M264" si="151">-1/(D201*C$193)</f>
        <v>-10.827736640489475</v>
      </c>
      <c r="N201" s="153">
        <f t="shared" ref="N201:N264" si="152">D201*C$195</f>
        <v>2.6242102187273837E-8</v>
      </c>
      <c r="O201" s="153">
        <f t="shared" ref="O201:O264" si="153">N201+M201</f>
        <v>-10.827736614247373</v>
      </c>
      <c r="P201" s="153"/>
      <c r="Q201" s="153" t="str">
        <f t="shared" ref="Q201:Q264" si="154">COMPLEX(C$194,O201)</f>
        <v>0.00025-10.8277366142474i</v>
      </c>
      <c r="R201" s="153"/>
      <c r="S201" s="153" t="str">
        <f t="shared" ref="S201:S264" si="155">IMPRODUCT(Q201,K201)</f>
        <v>-73.1576805046026-0.0666555465226745i</v>
      </c>
      <c r="T201" s="153" t="str">
        <f t="shared" ref="T201:T264" si="156">IMSUM(Q201,K201)</f>
        <v>0.00625-17.5842439630076i</v>
      </c>
      <c r="U201" s="153" t="str">
        <f t="shared" ref="U201:U264" si="157">IMDIV(S201,T201)</f>
        <v>0.00231189769987472-4.16041173608981i</v>
      </c>
      <c r="V201" s="321"/>
      <c r="W201" s="135"/>
      <c r="X201" s="135"/>
      <c r="Y201" s="135">
        <f t="shared" ref="Y201:Y264" si="158">IMABS(U201)</f>
        <v>4.1604123784385605</v>
      </c>
      <c r="Z201" s="135">
        <f t="shared" ref="Z201:Z264" si="159">IMARGUMENT(U201)</f>
        <v>-1.5702406372120952</v>
      </c>
      <c r="AA201" s="135">
        <f t="shared" ref="AA201:AA264" si="160">Z201*180/PI()</f>
        <v>-89.968161332186085</v>
      </c>
      <c r="AB201" s="135"/>
      <c r="AC201" s="135">
        <f t="shared" ref="AC201:AC264" si="161">Y201*COS(Z201)</f>
        <v>2.3118976998743406E-3</v>
      </c>
      <c r="AD201" s="135">
        <f t="shared" ref="AD201:AD264" si="162">Y201*SIN(Z201)</f>
        <v>-4.1604117360898103</v>
      </c>
      <c r="AE201" s="135">
        <f t="shared" ref="AE201:AE264" si="163">-1/(AD201*D201)</f>
        <v>7.6327988751116315E-4</v>
      </c>
      <c r="AF201" s="135">
        <f t="shared" ref="AF201:AF264" si="164">ABS(AE201)</f>
        <v>7.6327988751116315E-4</v>
      </c>
    </row>
    <row r="202" spans="2:32" s="141" customFormat="1">
      <c r="B202" s="163"/>
      <c r="C202" s="319">
        <f t="shared" si="146"/>
        <v>100</v>
      </c>
      <c r="D202" s="319">
        <f t="shared" si="146"/>
        <v>628.31853071795865</v>
      </c>
      <c r="E202" s="319" t="str">
        <f t="shared" si="146"/>
        <v>628.318530717959i</v>
      </c>
      <c r="F202" s="153"/>
      <c r="G202" s="320">
        <f t="shared" si="147"/>
        <v>-3.3862753849339433</v>
      </c>
      <c r="H202" s="153">
        <f t="shared" si="148"/>
        <v>6.2831853071795864E-7</v>
      </c>
      <c r="I202" s="320">
        <f t="shared" si="149"/>
        <v>-3.3862747566154128</v>
      </c>
      <c r="J202" s="153"/>
      <c r="K202" s="153" t="str">
        <f t="shared" si="150"/>
        <v>0.006-3.38627475661541i</v>
      </c>
      <c r="L202" s="153"/>
      <c r="M202" s="153">
        <f t="shared" si="151"/>
        <v>-5.4267233732915754</v>
      </c>
      <c r="N202" s="153">
        <f t="shared" si="152"/>
        <v>5.2359877559829887E-8</v>
      </c>
      <c r="O202" s="153">
        <f t="shared" si="153"/>
        <v>-5.4267233209316981</v>
      </c>
      <c r="P202" s="153"/>
      <c r="Q202" s="153" t="str">
        <f t="shared" si="154"/>
        <v>0.00025-5.4267233209317i</v>
      </c>
      <c r="R202" s="153"/>
      <c r="S202" s="153" t="str">
        <f t="shared" si="155"/>
        <v>-18.3763746928072-0.0334069086147441i</v>
      </c>
      <c r="T202" s="153" t="str">
        <f t="shared" si="156"/>
        <v>0.00625-8.81299807754711i</v>
      </c>
      <c r="U202" s="153" t="str">
        <f t="shared" si="157"/>
        <v>0.00231189714387722-2.0851461648428i</v>
      </c>
      <c r="V202" s="321"/>
      <c r="W202" s="135"/>
      <c r="X202" s="135"/>
      <c r="Y202" s="135">
        <f t="shared" si="158"/>
        <v>2.0851474464955806</v>
      </c>
      <c r="Z202" s="135">
        <f t="shared" si="159"/>
        <v>-1.5696875814054814</v>
      </c>
      <c r="AA202" s="135">
        <f t="shared" si="160"/>
        <v>-89.936473568631911</v>
      </c>
      <c r="AB202" s="135"/>
      <c r="AC202" s="135">
        <f t="shared" si="161"/>
        <v>2.3118971438774003E-3</v>
      </c>
      <c r="AD202" s="135">
        <f t="shared" si="162"/>
        <v>-2.0851461648427998</v>
      </c>
      <c r="AE202" s="135">
        <f t="shared" si="163"/>
        <v>7.6327955217419543E-4</v>
      </c>
      <c r="AF202" s="135">
        <f t="shared" si="164"/>
        <v>7.6327955217419543E-4</v>
      </c>
    </row>
    <row r="203" spans="2:32" s="141" customFormat="1">
      <c r="B203" s="163"/>
      <c r="C203" s="319">
        <f t="shared" si="146"/>
        <v>109.64781961431861</v>
      </c>
      <c r="D203" s="319">
        <f t="shared" si="146"/>
        <v>688.93756916496432</v>
      </c>
      <c r="E203" s="319" t="str">
        <f t="shared" si="146"/>
        <v>688.937569164964i</v>
      </c>
      <c r="F203" s="153"/>
      <c r="G203" s="320">
        <f t="shared" si="147"/>
        <v>-3.0883198561038592</v>
      </c>
      <c r="H203" s="153">
        <f t="shared" si="148"/>
        <v>6.8893756916496432E-7</v>
      </c>
      <c r="I203" s="320">
        <f t="shared" si="149"/>
        <v>-3.08831916716629</v>
      </c>
      <c r="J203" s="153"/>
      <c r="K203" s="153" t="str">
        <f t="shared" si="150"/>
        <v>0.006-3.08831916716629i</v>
      </c>
      <c r="L203" s="153"/>
      <c r="M203" s="153">
        <f t="shared" si="151"/>
        <v>-4.9492305386279787</v>
      </c>
      <c r="N203" s="153">
        <f t="shared" si="152"/>
        <v>5.7411464097080358E-8</v>
      </c>
      <c r="O203" s="153">
        <f t="shared" si="153"/>
        <v>-4.9492304812165147</v>
      </c>
      <c r="P203" s="153"/>
      <c r="Q203" s="153" t="str">
        <f t="shared" si="154"/>
        <v>0.00025-4.94923048121651i</v>
      </c>
      <c r="R203" s="153"/>
      <c r="S203" s="153" t="str">
        <f t="shared" si="155"/>
        <v>-15.2848018578646-0.0304674626790906i</v>
      </c>
      <c r="T203" s="153" t="str">
        <f t="shared" si="156"/>
        <v>0.00625-8.0375496483828i</v>
      </c>
      <c r="U203" s="153" t="str">
        <f t="shared" si="157"/>
        <v>0.00231189699369454-1.9016761296518i</v>
      </c>
      <c r="V203" s="321"/>
      <c r="W203" s="135"/>
      <c r="X203" s="135"/>
      <c r="Y203" s="135">
        <f t="shared" si="158"/>
        <v>1.9016775349556927</v>
      </c>
      <c r="Z203" s="135">
        <f t="shared" si="159"/>
        <v>-1.5695806119743336</v>
      </c>
      <c r="AA203" s="135">
        <f t="shared" si="160"/>
        <v>-89.930344671690236</v>
      </c>
      <c r="AB203" s="135"/>
      <c r="AC203" s="135">
        <f t="shared" si="161"/>
        <v>2.3118969936943797E-3</v>
      </c>
      <c r="AD203" s="135">
        <f t="shared" si="162"/>
        <v>-1.9016761296518001</v>
      </c>
      <c r="AE203" s="135">
        <f t="shared" si="163"/>
        <v>7.632794615950654E-4</v>
      </c>
      <c r="AF203" s="135">
        <f t="shared" si="164"/>
        <v>7.632794615950654E-4</v>
      </c>
    </row>
    <row r="204" spans="2:32" s="141" customFormat="1">
      <c r="B204" s="163"/>
      <c r="C204" s="319">
        <f t="shared" si="146"/>
        <v>120.22644346174135</v>
      </c>
      <c r="D204" s="319">
        <f t="shared" si="146"/>
        <v>755.40502309327053</v>
      </c>
      <c r="E204" s="319" t="str">
        <f t="shared" si="146"/>
        <v>755.405023093271i</v>
      </c>
      <c r="F204" s="153"/>
      <c r="G204" s="320">
        <f t="shared" si="147"/>
        <v>-2.8165811841648045</v>
      </c>
      <c r="H204" s="153">
        <f t="shared" si="148"/>
        <v>7.5540502309327062E-7</v>
      </c>
      <c r="I204" s="320">
        <f t="shared" si="149"/>
        <v>-2.8165804287597815</v>
      </c>
      <c r="J204" s="153"/>
      <c r="K204" s="153" t="str">
        <f t="shared" si="150"/>
        <v>0.006-2.81658042875978i</v>
      </c>
      <c r="L204" s="153"/>
      <c r="M204" s="153">
        <f t="shared" si="151"/>
        <v>-4.513751897700006</v>
      </c>
      <c r="N204" s="153">
        <f t="shared" si="152"/>
        <v>6.2950418591105872E-8</v>
      </c>
      <c r="O204" s="153">
        <f t="shared" si="153"/>
        <v>-4.5137518347495877</v>
      </c>
      <c r="P204" s="153"/>
      <c r="Q204" s="153" t="str">
        <f t="shared" si="154"/>
        <v>0.00025-4.51375183474959i</v>
      </c>
      <c r="R204" s="153"/>
      <c r="S204" s="153" t="str">
        <f t="shared" si="155"/>
        <v>-12.7133435780342-0.0277866561156875i</v>
      </c>
      <c r="T204" s="153" t="str">
        <f t="shared" si="156"/>
        <v>0.00625-7.33033226350937i</v>
      </c>
      <c r="U204" s="153" t="str">
        <f t="shared" si="157"/>
        <v>0.00231189681313531-1.73434949063316i</v>
      </c>
      <c r="V204" s="321"/>
      <c r="W204" s="135"/>
      <c r="X204" s="135"/>
      <c r="Y204" s="135">
        <f t="shared" si="158"/>
        <v>1.7343510315176613</v>
      </c>
      <c r="Z204" s="135">
        <f t="shared" si="159"/>
        <v>-1.5694633224285424</v>
      </c>
      <c r="AA204" s="135">
        <f t="shared" si="160"/>
        <v>-89.923624475735394</v>
      </c>
      <c r="AB204" s="135"/>
      <c r="AC204" s="135">
        <f t="shared" si="161"/>
        <v>2.3118968131354222E-3</v>
      </c>
      <c r="AD204" s="135">
        <f t="shared" si="162"/>
        <v>-1.73434949063316</v>
      </c>
      <c r="AE204" s="135">
        <f t="shared" si="163"/>
        <v>7.6327935269504413E-4</v>
      </c>
      <c r="AF204" s="135">
        <f t="shared" si="164"/>
        <v>7.6327935269504413E-4</v>
      </c>
    </row>
    <row r="205" spans="2:32" s="141" customFormat="1">
      <c r="B205" s="163"/>
      <c r="C205" s="319">
        <f t="shared" si="146"/>
        <v>131.82567385564084</v>
      </c>
      <c r="D205" s="319">
        <f t="shared" si="146"/>
        <v>828.28513707881064</v>
      </c>
      <c r="E205" s="319" t="str">
        <f t="shared" si="146"/>
        <v>828.285137078811i</v>
      </c>
      <c r="F205" s="153"/>
      <c r="G205" s="320">
        <f t="shared" si="147"/>
        <v>-2.5687525698842042</v>
      </c>
      <c r="H205" s="153">
        <f t="shared" si="148"/>
        <v>8.2828513707881065E-7</v>
      </c>
      <c r="I205" s="320">
        <f t="shared" si="149"/>
        <v>-2.5687517415990673</v>
      </c>
      <c r="J205" s="153"/>
      <c r="K205" s="153" t="str">
        <f t="shared" si="150"/>
        <v>0.006-2.56875174159907i</v>
      </c>
      <c r="L205" s="153"/>
      <c r="M205" s="153">
        <f t="shared" si="151"/>
        <v>-4.1165906568657116</v>
      </c>
      <c r="N205" s="153">
        <f t="shared" si="152"/>
        <v>6.9023761423234216E-8</v>
      </c>
      <c r="O205" s="153">
        <f t="shared" si="153"/>
        <v>-4.1165905878419498</v>
      </c>
      <c r="P205" s="153"/>
      <c r="Q205" s="153" t="str">
        <f t="shared" si="154"/>
        <v>0.00025-4.11659058784195i</v>
      </c>
      <c r="R205" s="153"/>
      <c r="S205" s="153" t="str">
        <f t="shared" si="155"/>
        <v>-10.5744977419693-0.0253417314624515i</v>
      </c>
      <c r="T205" s="153" t="str">
        <f t="shared" si="156"/>
        <v>0.00625-6.68534232944102i</v>
      </c>
      <c r="U205" s="153" t="str">
        <f t="shared" si="157"/>
        <v>0.00231189659605539-1.58174580600829i</v>
      </c>
      <c r="V205" s="321"/>
      <c r="W205" s="135"/>
      <c r="X205" s="135"/>
      <c r="Y205" s="135">
        <f t="shared" si="158"/>
        <v>1.5817474955537898</v>
      </c>
      <c r="Z205" s="135">
        <f t="shared" si="159"/>
        <v>-1.5693347171348806</v>
      </c>
      <c r="AA205" s="135">
        <f t="shared" si="160"/>
        <v>-89.916255935185532</v>
      </c>
      <c r="AB205" s="135"/>
      <c r="AC205" s="135">
        <f t="shared" si="161"/>
        <v>2.311896596055503E-3</v>
      </c>
      <c r="AD205" s="135">
        <f t="shared" si="162"/>
        <v>-1.5817458060082903</v>
      </c>
      <c r="AE205" s="135">
        <f t="shared" si="163"/>
        <v>7.6327922176848699E-4</v>
      </c>
      <c r="AF205" s="135">
        <f t="shared" si="164"/>
        <v>7.6327922176848699E-4</v>
      </c>
    </row>
    <row r="206" spans="2:32" s="141" customFormat="1">
      <c r="B206" s="163"/>
      <c r="C206" s="319">
        <f t="shared" si="146"/>
        <v>144.54397707459285</v>
      </c>
      <c r="D206" s="319">
        <f t="shared" si="146"/>
        <v>908.19659299638477</v>
      </c>
      <c r="E206" s="319" t="str">
        <f t="shared" si="146"/>
        <v>908.196592996385i</v>
      </c>
      <c r="F206" s="153"/>
      <c r="G206" s="320">
        <f t="shared" si="147"/>
        <v>-2.342730187357744</v>
      </c>
      <c r="H206" s="153">
        <f t="shared" si="148"/>
        <v>9.0819659299638483E-7</v>
      </c>
      <c r="I206" s="320">
        <f t="shared" si="149"/>
        <v>-2.3427292791611509</v>
      </c>
      <c r="J206" s="153"/>
      <c r="K206" s="153" t="str">
        <f t="shared" si="150"/>
        <v>0.006-2.34272927916115i</v>
      </c>
      <c r="L206" s="153"/>
      <c r="M206" s="153">
        <f t="shared" si="151"/>
        <v>-3.7543753002527942</v>
      </c>
      <c r="N206" s="153">
        <f t="shared" si="152"/>
        <v>7.5683049416365394E-8</v>
      </c>
      <c r="O206" s="153">
        <f t="shared" si="153"/>
        <v>-3.7543752245697446</v>
      </c>
      <c r="P206" s="153"/>
      <c r="Q206" s="153" t="str">
        <f t="shared" si="154"/>
        <v>0.00025-3.75437522456974i</v>
      </c>
      <c r="R206" s="153"/>
      <c r="S206" s="153" t="str">
        <f t="shared" si="155"/>
        <v>-8.79548326355675-0.0231119336672087i</v>
      </c>
      <c r="T206" s="153" t="str">
        <f t="shared" si="156"/>
        <v>0.00625-6.09710450373089i</v>
      </c>
      <c r="U206" s="153" t="str">
        <f t="shared" si="157"/>
        <v>0.00231189633506795-1.44256961768111i</v>
      </c>
      <c r="V206" s="321"/>
      <c r="W206" s="135"/>
      <c r="X206" s="135"/>
      <c r="Y206" s="135">
        <f t="shared" si="158"/>
        <v>1.4425714702299113</v>
      </c>
      <c r="Z206" s="135">
        <f t="shared" si="159"/>
        <v>-1.5691937044136672</v>
      </c>
      <c r="AA206" s="135">
        <f t="shared" si="160"/>
        <v>-89.908176501402352</v>
      </c>
      <c r="AB206" s="135"/>
      <c r="AC206" s="135">
        <f t="shared" si="161"/>
        <v>2.3118963350679603E-3</v>
      </c>
      <c r="AD206" s="135">
        <f t="shared" si="162"/>
        <v>-1.44256961768111</v>
      </c>
      <c r="AE206" s="135">
        <f t="shared" si="163"/>
        <v>7.6327906436023498E-4</v>
      </c>
      <c r="AF206" s="135">
        <f t="shared" si="164"/>
        <v>7.6327906436023498E-4</v>
      </c>
    </row>
    <row r="207" spans="2:32" s="141" customFormat="1">
      <c r="B207" s="163"/>
      <c r="C207" s="319">
        <f t="shared" si="146"/>
        <v>158.48931924611153</v>
      </c>
      <c r="D207" s="319">
        <f t="shared" si="146"/>
        <v>995.81776203206277</v>
      </c>
      <c r="E207" s="319" t="str">
        <f t="shared" si="146"/>
        <v>995.817762032063i</v>
      </c>
      <c r="F207" s="153"/>
      <c r="G207" s="320">
        <f t="shared" si="147"/>
        <v>-2.1365953245565628</v>
      </c>
      <c r="H207" s="153">
        <f t="shared" si="148"/>
        <v>9.9581776203206286E-7</v>
      </c>
      <c r="I207" s="320">
        <f t="shared" si="149"/>
        <v>-2.1365943287388007</v>
      </c>
      <c r="J207" s="153"/>
      <c r="K207" s="153" t="str">
        <f t="shared" si="150"/>
        <v>0.006-2.1365943287388i</v>
      </c>
      <c r="L207" s="153"/>
      <c r="M207" s="153">
        <f t="shared" si="151"/>
        <v>-3.4240309688406447</v>
      </c>
      <c r="N207" s="153">
        <f t="shared" si="152"/>
        <v>8.2984813502671896E-8</v>
      </c>
      <c r="O207" s="153">
        <f t="shared" si="153"/>
        <v>-3.424030885855831</v>
      </c>
      <c r="P207" s="153"/>
      <c r="Q207" s="153" t="str">
        <f t="shared" si="154"/>
        <v>0.00025-3.42403088585583i</v>
      </c>
      <c r="R207" s="153"/>
      <c r="S207" s="153" t="str">
        <f t="shared" si="155"/>
        <v>-7.31576347214606-0.0210783338973197i</v>
      </c>
      <c r="T207" s="153" t="str">
        <f t="shared" si="156"/>
        <v>0.00625-5.56062521459463i</v>
      </c>
      <c r="U207" s="153" t="str">
        <f t="shared" si="157"/>
        <v>0.00231189602129215-1.31563945404825i</v>
      </c>
      <c r="V207" s="321"/>
      <c r="W207" s="135"/>
      <c r="X207" s="135"/>
      <c r="Y207" s="135">
        <f t="shared" si="158"/>
        <v>1.315641485326299</v>
      </c>
      <c r="Z207" s="135">
        <f t="shared" si="159"/>
        <v>-1.5690390872757027</v>
      </c>
      <c r="AA207" s="135">
        <f t="shared" si="160"/>
        <v>-89.899317591956589</v>
      </c>
      <c r="AB207" s="135"/>
      <c r="AC207" s="135">
        <f t="shared" si="161"/>
        <v>2.3118960212921667E-3</v>
      </c>
      <c r="AD207" s="135">
        <f t="shared" si="162"/>
        <v>-1.3156394540482499</v>
      </c>
      <c r="AE207" s="135">
        <f t="shared" si="163"/>
        <v>7.632788751140299E-4</v>
      </c>
      <c r="AF207" s="135">
        <f t="shared" si="164"/>
        <v>7.632788751140299E-4</v>
      </c>
    </row>
    <row r="208" spans="2:32" s="141" customFormat="1">
      <c r="B208" s="163"/>
      <c r="C208" s="319">
        <f t="shared" si="146"/>
        <v>173.78008287493768</v>
      </c>
      <c r="D208" s="319">
        <f t="shared" si="146"/>
        <v>1091.8924634002592</v>
      </c>
      <c r="E208" s="319" t="str">
        <f t="shared" si="146"/>
        <v>1091.89246340026i</v>
      </c>
      <c r="F208" s="153"/>
      <c r="G208" s="320">
        <f t="shared" si="147"/>
        <v>-1.9485980953127437</v>
      </c>
      <c r="H208" s="153">
        <f t="shared" si="148"/>
        <v>1.0918924634002592E-6</v>
      </c>
      <c r="I208" s="320">
        <f t="shared" si="149"/>
        <v>-1.9485970034202804</v>
      </c>
      <c r="J208" s="153"/>
      <c r="K208" s="153" t="str">
        <f t="shared" si="150"/>
        <v>0.006-1.94859700342028i</v>
      </c>
      <c r="L208" s="153"/>
      <c r="M208" s="153">
        <f t="shared" si="151"/>
        <v>-3.1227533578729867</v>
      </c>
      <c r="N208" s="153">
        <f t="shared" si="152"/>
        <v>9.0991038616688269E-8</v>
      </c>
      <c r="O208" s="153">
        <f t="shared" si="153"/>
        <v>-3.122753266881948</v>
      </c>
      <c r="P208" s="153"/>
      <c r="Q208" s="153" t="str">
        <f t="shared" si="154"/>
        <v>0.00025-3.12275326688195i</v>
      </c>
      <c r="R208" s="153"/>
      <c r="S208" s="153" t="str">
        <f t="shared" si="155"/>
        <v>-6.08498615826706-0.0192236688521468i</v>
      </c>
      <c r="T208" s="153" t="str">
        <f t="shared" si="156"/>
        <v>0.00625-5.07135027030223i</v>
      </c>
      <c r="U208" s="153" t="str">
        <f t="shared" si="157"/>
        <v>0.00231189564405078-1.19987780044469i</v>
      </c>
      <c r="V208" s="321"/>
      <c r="W208" s="135"/>
      <c r="X208" s="135"/>
      <c r="Y208" s="135">
        <f t="shared" si="158"/>
        <v>1.1998800276950425</v>
      </c>
      <c r="Z208" s="135">
        <f t="shared" si="159"/>
        <v>-1.5688695532665788</v>
      </c>
      <c r="AA208" s="135">
        <f t="shared" si="160"/>
        <v>-89.889604008749856</v>
      </c>
      <c r="AB208" s="135"/>
      <c r="AC208" s="135">
        <f t="shared" si="161"/>
        <v>2.3118956440508253E-3</v>
      </c>
      <c r="AD208" s="135">
        <f t="shared" si="162"/>
        <v>-1.1998778004446899</v>
      </c>
      <c r="AE208" s="135">
        <f t="shared" si="163"/>
        <v>7.632786475902523E-4</v>
      </c>
      <c r="AF208" s="135">
        <f t="shared" si="164"/>
        <v>7.632786475902523E-4</v>
      </c>
    </row>
    <row r="209" spans="2:32" s="141" customFormat="1">
      <c r="B209" s="163"/>
      <c r="C209" s="319">
        <f t="shared" si="146"/>
        <v>190.54607179632498</v>
      </c>
      <c r="D209" s="319">
        <f t="shared" si="146"/>
        <v>1197.2362786514557</v>
      </c>
      <c r="E209" s="319" t="str">
        <f t="shared" si="146"/>
        <v>1197.23627865146i</v>
      </c>
      <c r="F209" s="153"/>
      <c r="G209" s="320">
        <f t="shared" si="147"/>
        <v>-1.7771425844735014</v>
      </c>
      <c r="H209" s="153">
        <f t="shared" si="148"/>
        <v>1.1972362786514558E-6</v>
      </c>
      <c r="I209" s="320">
        <f t="shared" si="149"/>
        <v>-1.7771413872372228</v>
      </c>
      <c r="J209" s="153"/>
      <c r="K209" s="153" t="str">
        <f t="shared" si="150"/>
        <v>0.006-1.77714138723722i</v>
      </c>
      <c r="L209" s="153"/>
      <c r="M209" s="153">
        <f t="shared" si="151"/>
        <v>-2.8479849110152267</v>
      </c>
      <c r="N209" s="153">
        <f t="shared" si="152"/>
        <v>9.9769689887621306E-8</v>
      </c>
      <c r="O209" s="153">
        <f t="shared" si="153"/>
        <v>-2.8479848112455368</v>
      </c>
      <c r="P209" s="153"/>
      <c r="Q209" s="153" t="str">
        <f t="shared" si="154"/>
        <v>0.00025-2.84798481124554i</v>
      </c>
      <c r="R209" s="153"/>
      <c r="S209" s="153" t="str">
        <f t="shared" si="155"/>
        <v>-5.06127017828743-0.0175321942142825i</v>
      </c>
      <c r="T209" s="153" t="str">
        <f t="shared" si="156"/>
        <v>0.00625-4.62512619848276i</v>
      </c>
      <c r="U209" s="153" t="str">
        <f t="shared" si="157"/>
        <v>0.00231189519050704-1.09430195208353i</v>
      </c>
      <c r="V209" s="321"/>
      <c r="W209" s="135"/>
      <c r="X209" s="135"/>
      <c r="Y209" s="135">
        <f t="shared" si="158"/>
        <v>1.0943043942126873</v>
      </c>
      <c r="Z209" s="135">
        <f t="shared" si="159"/>
        <v>-1.5686836633325794</v>
      </c>
      <c r="AA209" s="135">
        <f t="shared" si="160"/>
        <v>-89.87895330007774</v>
      </c>
      <c r="AB209" s="135"/>
      <c r="AC209" s="135">
        <f t="shared" si="161"/>
        <v>2.3118951905070988E-3</v>
      </c>
      <c r="AD209" s="135">
        <f t="shared" si="162"/>
        <v>-1.0943019520835302</v>
      </c>
      <c r="AE209" s="135">
        <f t="shared" si="163"/>
        <v>7.6327837404679044E-4</v>
      </c>
      <c r="AF209" s="135">
        <f t="shared" si="164"/>
        <v>7.6327837404679044E-4</v>
      </c>
    </row>
    <row r="210" spans="2:32" s="141" customFormat="1">
      <c r="B210" s="163"/>
      <c r="C210" s="319">
        <f t="shared" si="146"/>
        <v>208.92961308540416</v>
      </c>
      <c r="D210" s="319">
        <f t="shared" si="146"/>
        <v>1312.7434751729272</v>
      </c>
      <c r="E210" s="319" t="str">
        <f t="shared" si="146"/>
        <v>1312.74347517293i</v>
      </c>
      <c r="F210" s="153"/>
      <c r="G210" s="320">
        <f t="shared" si="147"/>
        <v>-1.6207733001208096</v>
      </c>
      <c r="H210" s="153">
        <f t="shared" si="148"/>
        <v>1.3127434751729273E-6</v>
      </c>
      <c r="I210" s="320">
        <f t="shared" si="149"/>
        <v>-1.6207719873773343</v>
      </c>
      <c r="J210" s="153"/>
      <c r="K210" s="153" t="str">
        <f t="shared" si="150"/>
        <v>0.006-1.62077198737733i</v>
      </c>
      <c r="L210" s="153"/>
      <c r="M210" s="153">
        <f t="shared" si="151"/>
        <v>-2.5973931091679634</v>
      </c>
      <c r="N210" s="153">
        <f t="shared" si="152"/>
        <v>1.0939528959774394E-7</v>
      </c>
      <c r="O210" s="153">
        <f t="shared" si="153"/>
        <v>-2.5973929997726737</v>
      </c>
      <c r="P210" s="153"/>
      <c r="Q210" s="153" t="str">
        <f t="shared" si="154"/>
        <v>0.00025-2.59739299977267i</v>
      </c>
      <c r="R210" s="153"/>
      <c r="S210" s="153" t="str">
        <f t="shared" si="155"/>
        <v>-4.20978031424152-0.0159895509954804i</v>
      </c>
      <c r="T210" s="153" t="str">
        <f t="shared" si="156"/>
        <v>0.00625-4.21816498715i</v>
      </c>
      <c r="U210" s="153" t="str">
        <f t="shared" si="157"/>
        <v>0.00231189464522781-0.998015671840138i</v>
      </c>
      <c r="V210" s="321"/>
      <c r="W210" s="135"/>
      <c r="X210" s="135"/>
      <c r="Y210" s="135">
        <f t="shared" si="158"/>
        <v>0.99801834957848989</v>
      </c>
      <c r="Z210" s="135">
        <f t="shared" si="159"/>
        <v>-1.5684798396142217</v>
      </c>
      <c r="AA210" s="135">
        <f t="shared" si="160"/>
        <v>-89.867275061251163</v>
      </c>
      <c r="AB210" s="135"/>
      <c r="AC210" s="135">
        <f t="shared" si="161"/>
        <v>2.3118946452277268E-3</v>
      </c>
      <c r="AD210" s="135">
        <f t="shared" si="162"/>
        <v>-0.99801567184013806</v>
      </c>
      <c r="AE210" s="135">
        <f t="shared" si="163"/>
        <v>7.6327804517562685E-4</v>
      </c>
      <c r="AF210" s="135">
        <f t="shared" si="164"/>
        <v>7.6327804517562685E-4</v>
      </c>
    </row>
    <row r="211" spans="2:32" s="141" customFormat="1">
      <c r="B211" s="163"/>
      <c r="C211" s="319">
        <f t="shared" si="146"/>
        <v>229.08676527677764</v>
      </c>
      <c r="D211" s="319">
        <f t="shared" si="146"/>
        <v>1439.394597656348</v>
      </c>
      <c r="E211" s="319" t="str">
        <f t="shared" si="146"/>
        <v>1439.39459765635i</v>
      </c>
      <c r="F211" s="153"/>
      <c r="G211" s="320">
        <f t="shared" si="147"/>
        <v>-1.4781628178488264</v>
      </c>
      <c r="H211" s="153">
        <f t="shared" si="148"/>
        <v>1.439394597656348E-6</v>
      </c>
      <c r="I211" s="320">
        <f t="shared" si="149"/>
        <v>-1.4781613784542287</v>
      </c>
      <c r="J211" s="153"/>
      <c r="K211" s="153" t="str">
        <f t="shared" si="150"/>
        <v>0.006-1.47816137845423i</v>
      </c>
      <c r="L211" s="153"/>
      <c r="M211" s="153">
        <f t="shared" si="151"/>
        <v>-2.3688506696295293</v>
      </c>
      <c r="N211" s="153">
        <f t="shared" si="152"/>
        <v>1.1994954980469566E-7</v>
      </c>
      <c r="O211" s="153">
        <f t="shared" si="153"/>
        <v>-2.3688505496799794</v>
      </c>
      <c r="P211" s="153"/>
      <c r="Q211" s="153" t="str">
        <f t="shared" si="154"/>
        <v>0.00025-2.36885054967998i</v>
      </c>
      <c r="R211" s="153"/>
      <c r="S211" s="153" t="str">
        <f t="shared" si="155"/>
        <v>-3.50154189386702-0.0145826436426934i</v>
      </c>
      <c r="T211" s="153" t="str">
        <f t="shared" si="156"/>
        <v>0.00625-3.84701192813421i</v>
      </c>
      <c r="U211" s="153" t="str">
        <f t="shared" si="157"/>
        <v>0.0023118939896583-0.910201582063381i</v>
      </c>
      <c r="V211" s="321"/>
      <c r="W211" s="135"/>
      <c r="X211" s="135"/>
      <c r="Y211" s="135">
        <f t="shared" si="158"/>
        <v>0.91020451814111603</v>
      </c>
      <c r="Z211" s="135">
        <f t="shared" si="159"/>
        <v>-1.5682563520645638</v>
      </c>
      <c r="AA211" s="135">
        <f t="shared" si="160"/>
        <v>-89.854470167882056</v>
      </c>
      <c r="AB211" s="135"/>
      <c r="AC211" s="135">
        <f t="shared" si="161"/>
        <v>2.3118939896582254E-3</v>
      </c>
      <c r="AD211" s="135">
        <f t="shared" si="162"/>
        <v>-0.91020158206338098</v>
      </c>
      <c r="AE211" s="135">
        <f t="shared" si="163"/>
        <v>7.6327764978612305E-4</v>
      </c>
      <c r="AF211" s="135">
        <f t="shared" si="164"/>
        <v>7.6327764978612305E-4</v>
      </c>
    </row>
    <row r="212" spans="2:32" s="141" customFormat="1">
      <c r="B212" s="163"/>
      <c r="C212" s="319">
        <f t="shared" si="146"/>
        <v>251.18864315095828</v>
      </c>
      <c r="D212" s="319">
        <f t="shared" si="146"/>
        <v>1578.2647919764772</v>
      </c>
      <c r="E212" s="319" t="str">
        <f t="shared" si="146"/>
        <v>1578.26479197648i</v>
      </c>
      <c r="F212" s="153"/>
      <c r="G212" s="320">
        <f t="shared" si="147"/>
        <v>-1.3481005122110057</v>
      </c>
      <c r="H212" s="153">
        <f t="shared" si="148"/>
        <v>1.5782647919764772E-6</v>
      </c>
      <c r="I212" s="320">
        <f t="shared" si="149"/>
        <v>-1.3480989339462137</v>
      </c>
      <c r="J212" s="153"/>
      <c r="K212" s="153" t="str">
        <f t="shared" si="150"/>
        <v>0.006-1.34809893394621i</v>
      </c>
      <c r="L212" s="153"/>
      <c r="M212" s="153">
        <f t="shared" si="151"/>
        <v>-2.1604174875176367</v>
      </c>
      <c r="N212" s="153">
        <f t="shared" si="152"/>
        <v>1.3152206599803976E-7</v>
      </c>
      <c r="O212" s="153">
        <f t="shared" si="153"/>
        <v>-2.1604173559955706</v>
      </c>
      <c r="P212" s="153"/>
      <c r="Q212" s="153" t="str">
        <f t="shared" si="154"/>
        <v>0.00025-2.16041735599557i</v>
      </c>
      <c r="R212" s="153"/>
      <c r="S212" s="153" t="str">
        <f t="shared" si="155"/>
        <v>-2.91245483449652-0.01329952886946i</v>
      </c>
      <c r="T212" s="153" t="str">
        <f t="shared" si="156"/>
        <v>0.00625-3.50851628994178i</v>
      </c>
      <c r="U212" s="153" t="str">
        <f t="shared" si="157"/>
        <v>0.00231189320149095-0.830114225827738i</v>
      </c>
      <c r="V212" s="321"/>
      <c r="W212" s="135"/>
      <c r="X212" s="135"/>
      <c r="Y212" s="135">
        <f t="shared" si="158"/>
        <v>0.83011744516770636</v>
      </c>
      <c r="Z212" s="135">
        <f t="shared" si="159"/>
        <v>-1.5680113037796655</v>
      </c>
      <c r="AA212" s="135">
        <f t="shared" si="160"/>
        <v>-89.840429935380456</v>
      </c>
      <c r="AB212" s="135"/>
      <c r="AC212" s="135">
        <f t="shared" si="161"/>
        <v>2.3118932014908724E-3</v>
      </c>
      <c r="AD212" s="135">
        <f t="shared" si="162"/>
        <v>-0.83011422582773808</v>
      </c>
      <c r="AE212" s="135">
        <f t="shared" si="163"/>
        <v>7.632771744242535E-4</v>
      </c>
      <c r="AF212" s="135">
        <f t="shared" si="164"/>
        <v>7.632771744242535E-4</v>
      </c>
    </row>
    <row r="213" spans="2:32" s="141" customFormat="1">
      <c r="B213" s="163"/>
      <c r="C213" s="319">
        <f t="shared" si="146"/>
        <v>275.42287033381706</v>
      </c>
      <c r="D213" s="319">
        <f t="shared" si="146"/>
        <v>1730.5329321426677</v>
      </c>
      <c r="E213" s="319" t="str">
        <f t="shared" si="146"/>
        <v>1730.53293214267i</v>
      </c>
      <c r="F213" s="153"/>
      <c r="G213" s="320">
        <f t="shared" si="147"/>
        <v>-1.2294822796776903</v>
      </c>
      <c r="H213" s="153">
        <f t="shared" si="148"/>
        <v>1.7305329321426679E-6</v>
      </c>
      <c r="I213" s="320">
        <f t="shared" si="149"/>
        <v>-1.2294805491447582</v>
      </c>
      <c r="J213" s="153"/>
      <c r="K213" s="153" t="str">
        <f t="shared" si="150"/>
        <v>0.006-1.22948054914476i</v>
      </c>
      <c r="L213" s="153"/>
      <c r="M213" s="153">
        <f t="shared" si="151"/>
        <v>-1.9703241661501445</v>
      </c>
      <c r="N213" s="153">
        <f t="shared" si="152"/>
        <v>1.4421107767855564E-7</v>
      </c>
      <c r="O213" s="153">
        <f t="shared" si="153"/>
        <v>-1.9703240219390667</v>
      </c>
      <c r="P213" s="153"/>
      <c r="Q213" s="153" t="str">
        <f t="shared" si="154"/>
        <v>0.00025-1.97032402193907i</v>
      </c>
      <c r="R213" s="153"/>
      <c r="S213" s="153" t="str">
        <f t="shared" si="155"/>
        <v>-2.42247356048676-0.0121293142689206i</v>
      </c>
      <c r="T213" s="153" t="str">
        <f t="shared" si="156"/>
        <v>0.00625-3.19980457108383i</v>
      </c>
      <c r="U213" s="153" t="str">
        <f t="shared" si="157"/>
        <v>0.00231189225390606-0.757073738722989i</v>
      </c>
      <c r="V213" s="321"/>
      <c r="W213" s="135"/>
      <c r="X213" s="135"/>
      <c r="Y213" s="135">
        <f t="shared" si="158"/>
        <v>0.75707726865214897</v>
      </c>
      <c r="Z213" s="135">
        <f t="shared" si="159"/>
        <v>-1.5677426149179676</v>
      </c>
      <c r="AA213" s="135">
        <f t="shared" si="160"/>
        <v>-89.825035197603</v>
      </c>
      <c r="AB213" s="135"/>
      <c r="AC213" s="135">
        <f t="shared" si="161"/>
        <v>2.3118922539060466E-3</v>
      </c>
      <c r="AD213" s="135">
        <f t="shared" si="162"/>
        <v>-0.75707373872298889</v>
      </c>
      <c r="AE213" s="135">
        <f t="shared" si="163"/>
        <v>7.6327660291483255E-4</v>
      </c>
      <c r="AF213" s="135">
        <f t="shared" si="164"/>
        <v>7.6327660291483255E-4</v>
      </c>
    </row>
    <row r="214" spans="2:32" s="141" customFormat="1">
      <c r="B214" s="163"/>
      <c r="C214" s="319">
        <f t="shared" si="146"/>
        <v>301.99517204020196</v>
      </c>
      <c r="D214" s="319">
        <f t="shared" si="146"/>
        <v>1897.4916278021683</v>
      </c>
      <c r="E214" s="319" t="str">
        <f t="shared" si="146"/>
        <v>1897.49162780217i</v>
      </c>
      <c r="F214" s="153"/>
      <c r="G214" s="320">
        <f t="shared" si="147"/>
        <v>-1.1213011658620684</v>
      </c>
      <c r="H214" s="153">
        <f t="shared" si="148"/>
        <v>1.8974916278021684E-6</v>
      </c>
      <c r="I214" s="320">
        <f t="shared" si="149"/>
        <v>-1.1212992683704406</v>
      </c>
      <c r="J214" s="153"/>
      <c r="K214" s="153" t="str">
        <f t="shared" si="150"/>
        <v>0.006-1.12129926837044i</v>
      </c>
      <c r="L214" s="153"/>
      <c r="M214" s="153">
        <f t="shared" si="151"/>
        <v>-1.7969569965738272</v>
      </c>
      <c r="N214" s="153">
        <f t="shared" si="152"/>
        <v>1.5812430231684734E-7</v>
      </c>
      <c r="O214" s="153">
        <f t="shared" si="153"/>
        <v>-1.7969568384495249</v>
      </c>
      <c r="P214" s="153"/>
      <c r="Q214" s="153" t="str">
        <f t="shared" si="154"/>
        <v>0.00025-1.79695683844952i</v>
      </c>
      <c r="R214" s="153"/>
      <c r="S214" s="153" t="str">
        <f t="shared" si="155"/>
        <v>-2.01492488824671-0.0110620658477897i</v>
      </c>
      <c r="T214" s="153" t="str">
        <f t="shared" si="156"/>
        <v>0.00625-2.91825610681996i</v>
      </c>
      <c r="U214" s="153" t="str">
        <f t="shared" si="157"/>
        <v>0.00231189111465952-0.690460077461079i</v>
      </c>
      <c r="V214" s="321"/>
      <c r="W214" s="135"/>
      <c r="X214" s="135"/>
      <c r="Y214" s="135">
        <f t="shared" si="158"/>
        <v>0.69046394794231303</v>
      </c>
      <c r="Z214" s="135">
        <f t="shared" si="159"/>
        <v>-1.5674480050737944</v>
      </c>
      <c r="AA214" s="135">
        <f t="shared" si="160"/>
        <v>-89.808155296928874</v>
      </c>
      <c r="AB214" s="135"/>
      <c r="AC214" s="135">
        <f t="shared" si="161"/>
        <v>2.311891114659462E-3</v>
      </c>
      <c r="AD214" s="135">
        <f t="shared" si="162"/>
        <v>-0.69046007746107896</v>
      </c>
      <c r="AE214" s="135">
        <f t="shared" si="163"/>
        <v>7.6327591581119272E-4</v>
      </c>
      <c r="AF214" s="135">
        <f t="shared" si="164"/>
        <v>7.6327591581119272E-4</v>
      </c>
    </row>
    <row r="215" spans="2:32" s="141" customFormat="1">
      <c r="B215" s="163"/>
      <c r="C215" s="319">
        <f t="shared" si="146"/>
        <v>331.13112148259165</v>
      </c>
      <c r="D215" s="319">
        <f t="shared" si="146"/>
        <v>2080.5581972493187</v>
      </c>
      <c r="E215" s="319" t="str">
        <f t="shared" si="146"/>
        <v>2080.55819724932i</v>
      </c>
      <c r="F215" s="153"/>
      <c r="G215" s="320">
        <f t="shared" si="147"/>
        <v>-1.0226388174486243</v>
      </c>
      <c r="H215" s="153">
        <f t="shared" si="148"/>
        <v>2.080558197249319E-6</v>
      </c>
      <c r="I215" s="320">
        <f t="shared" si="149"/>
        <v>-1.022636736890427</v>
      </c>
      <c r="J215" s="153"/>
      <c r="K215" s="153" t="str">
        <f t="shared" si="150"/>
        <v>0.006-1.02263673689043i</v>
      </c>
      <c r="L215" s="153"/>
      <c r="M215" s="153">
        <f t="shared" si="151"/>
        <v>-1.6388442587317695</v>
      </c>
      <c r="N215" s="153">
        <f t="shared" si="152"/>
        <v>1.7337984977077655E-7</v>
      </c>
      <c r="O215" s="153">
        <f t="shared" si="153"/>
        <v>-1.6388440853519197</v>
      </c>
      <c r="P215" s="153"/>
      <c r="Q215" s="153" t="str">
        <f t="shared" si="154"/>
        <v>0.00025-1.63884408535192i</v>
      </c>
      <c r="R215" s="153"/>
      <c r="S215" s="153" t="str">
        <f t="shared" si="155"/>
        <v>-1.67594066771647-0.0100887236963341i</v>
      </c>
      <c r="T215" s="153" t="str">
        <f t="shared" si="156"/>
        <v>0.00625-2.66148082224235i</v>
      </c>
      <c r="U215" s="153" t="str">
        <f t="shared" si="157"/>
        <v>0.00231188974498548-0.629707756306638i</v>
      </c>
      <c r="V215" s="321"/>
      <c r="W215" s="135"/>
      <c r="X215" s="135"/>
      <c r="Y215" s="135">
        <f t="shared" si="158"/>
        <v>0.62971200019289231</v>
      </c>
      <c r="Z215" s="135">
        <f t="shared" si="159"/>
        <v>-1.5671249739575981</v>
      </c>
      <c r="AA215" s="135">
        <f t="shared" si="160"/>
        <v>-89.789646977319421</v>
      </c>
      <c r="AB215" s="135"/>
      <c r="AC215" s="135">
        <f t="shared" si="161"/>
        <v>2.3118897449854944E-3</v>
      </c>
      <c r="AD215" s="135">
        <f t="shared" si="162"/>
        <v>-0.629707756306638</v>
      </c>
      <c r="AE215" s="135">
        <f t="shared" si="163"/>
        <v>7.6327508973353722E-4</v>
      </c>
      <c r="AF215" s="135">
        <f t="shared" si="164"/>
        <v>7.6327508973353722E-4</v>
      </c>
    </row>
    <row r="216" spans="2:32" s="141" customFormat="1">
      <c r="B216" s="163"/>
      <c r="C216" s="319">
        <f t="shared" si="146"/>
        <v>363.0780547701018</v>
      </c>
      <c r="D216" s="319">
        <f t="shared" si="146"/>
        <v>2281.2866990908487</v>
      </c>
      <c r="E216" s="319" t="str">
        <f t="shared" si="146"/>
        <v>2281.28669909085i</v>
      </c>
      <c r="F216" s="153"/>
      <c r="G216" s="320">
        <f t="shared" si="147"/>
        <v>-0.93265768625925538</v>
      </c>
      <c r="H216" s="153">
        <f t="shared" si="148"/>
        <v>2.2812866990908487E-6</v>
      </c>
      <c r="I216" s="320">
        <f t="shared" si="149"/>
        <v>-0.93265540497255628</v>
      </c>
      <c r="J216" s="153"/>
      <c r="K216" s="153" t="str">
        <f t="shared" si="150"/>
        <v>0.006-0.932655404972556i</v>
      </c>
      <c r="L216" s="153"/>
      <c r="M216" s="153">
        <f t="shared" si="151"/>
        <v>-1.4946437279795757</v>
      </c>
      <c r="N216" s="153">
        <f t="shared" si="152"/>
        <v>1.9010722492423739E-7</v>
      </c>
      <c r="O216" s="153">
        <f t="shared" si="153"/>
        <v>-1.4946435378723508</v>
      </c>
      <c r="P216" s="153"/>
      <c r="Q216" s="153" t="str">
        <f t="shared" si="154"/>
        <v>0.00025-1.49464353787235i</v>
      </c>
      <c r="R216" s="153"/>
      <c r="S216" s="153" t="str">
        <f t="shared" si="155"/>
        <v>-1.39398587410395-0.00920102507847724i</v>
      </c>
      <c r="T216" s="153" t="str">
        <f t="shared" si="156"/>
        <v>0.00625-2.42729894284491i</v>
      </c>
      <c r="U216" s="153" t="str">
        <f t="shared" si="157"/>
        <v>0.00231188809827733-0.574301046648473i</v>
      </c>
      <c r="V216" s="321"/>
      <c r="W216" s="135"/>
      <c r="X216" s="135"/>
      <c r="Y216" s="135">
        <f t="shared" si="158"/>
        <v>0.57430569996136249</v>
      </c>
      <c r="Z216" s="135">
        <f t="shared" si="159"/>
        <v>-1.5667707802219151</v>
      </c>
      <c r="AA216" s="135">
        <f t="shared" si="160"/>
        <v>-89.76935317113481</v>
      </c>
      <c r="AB216" s="135"/>
      <c r="AC216" s="135">
        <f t="shared" si="161"/>
        <v>2.3118880982772741E-3</v>
      </c>
      <c r="AD216" s="135">
        <f t="shared" si="162"/>
        <v>-0.57430104664847303</v>
      </c>
      <c r="AE216" s="135">
        <f t="shared" si="163"/>
        <v>7.6327409657353702E-4</v>
      </c>
      <c r="AF216" s="135">
        <f t="shared" si="164"/>
        <v>7.6327409657353702E-4</v>
      </c>
    </row>
    <row r="217" spans="2:32" s="141" customFormat="1">
      <c r="B217" s="163"/>
      <c r="C217" s="319">
        <f t="shared" si="146"/>
        <v>398.10717055349795</v>
      </c>
      <c r="D217" s="319">
        <f t="shared" si="146"/>
        <v>2501.381124704576</v>
      </c>
      <c r="E217" s="319" t="str">
        <f t="shared" si="146"/>
        <v>2501.38112470458i</v>
      </c>
      <c r="F217" s="153"/>
      <c r="G217" s="320">
        <f t="shared" si="147"/>
        <v>-0.85059391927704375</v>
      </c>
      <c r="H217" s="153">
        <f t="shared" si="148"/>
        <v>2.501381124704576E-6</v>
      </c>
      <c r="I217" s="320">
        <f t="shared" si="149"/>
        <v>-0.85059141789591908</v>
      </c>
      <c r="J217" s="153"/>
      <c r="K217" s="153" t="str">
        <f t="shared" si="150"/>
        <v>0.006-0.850591417895919i</v>
      </c>
      <c r="L217" s="153"/>
      <c r="M217" s="153">
        <f t="shared" si="151"/>
        <v>-1.3631312808926981</v>
      </c>
      <c r="N217" s="153">
        <f t="shared" si="152"/>
        <v>2.0844842705871466E-7</v>
      </c>
      <c r="O217" s="153">
        <f t="shared" si="153"/>
        <v>-1.3631310724442711</v>
      </c>
      <c r="P217" s="153"/>
      <c r="Q217" s="153" t="str">
        <f t="shared" si="154"/>
        <v>0.00025-1.36313107244427i</v>
      </c>
      <c r="R217" s="153"/>
      <c r="S217" s="153" t="str">
        <f t="shared" si="155"/>
        <v>-1.15946609168836-0.0083914342891396i</v>
      </c>
      <c r="T217" s="153" t="str">
        <f t="shared" si="156"/>
        <v>0.00625-2.21372249034019i</v>
      </c>
      <c r="U217" s="153" t="str">
        <f t="shared" si="157"/>
        <v>0.00231188611850186-0.523769598961078i</v>
      </c>
      <c r="V217" s="321"/>
      <c r="W217" s="135"/>
      <c r="X217" s="135"/>
      <c r="Y217" s="135">
        <f t="shared" si="158"/>
        <v>0.52377470119629999</v>
      </c>
      <c r="Z217" s="135">
        <f t="shared" si="159"/>
        <v>-1.5663824182571999</v>
      </c>
      <c r="AA217" s="135">
        <f t="shared" si="160"/>
        <v>-89.747101669633224</v>
      </c>
      <c r="AB217" s="135"/>
      <c r="AC217" s="135">
        <f t="shared" si="161"/>
        <v>2.3118861185018047E-3</v>
      </c>
      <c r="AD217" s="135">
        <f t="shared" si="162"/>
        <v>-0.523769598961078</v>
      </c>
      <c r="AE217" s="135">
        <f t="shared" si="163"/>
        <v>7.6327290253804653E-4</v>
      </c>
      <c r="AF217" s="135">
        <f t="shared" si="164"/>
        <v>7.6327290253804653E-4</v>
      </c>
    </row>
    <row r="218" spans="2:32" s="141" customFormat="1">
      <c r="B218" s="163"/>
      <c r="C218" s="319">
        <f t="shared" si="146"/>
        <v>436.51583224016696</v>
      </c>
      <c r="D218" s="319">
        <f t="shared" si="146"/>
        <v>2742.7098634826862</v>
      </c>
      <c r="E218" s="319" t="str">
        <f t="shared" si="146"/>
        <v>2742.70986348269i</v>
      </c>
      <c r="F218" s="153"/>
      <c r="G218" s="320">
        <f t="shared" si="147"/>
        <v>-0.77575087427088929</v>
      </c>
      <c r="H218" s="153">
        <f t="shared" si="148"/>
        <v>2.7427098634826863E-6</v>
      </c>
      <c r="I218" s="320">
        <f t="shared" si="149"/>
        <v>-0.77574813156102584</v>
      </c>
      <c r="J218" s="153"/>
      <c r="K218" s="153" t="str">
        <f t="shared" si="150"/>
        <v>0.006-0.775748131561026i</v>
      </c>
      <c r="L218" s="153"/>
      <c r="M218" s="153">
        <f t="shared" si="151"/>
        <v>-1.2431905036392454</v>
      </c>
      <c r="N218" s="153">
        <f t="shared" si="152"/>
        <v>2.2855915529022383E-7</v>
      </c>
      <c r="O218" s="153">
        <f t="shared" si="153"/>
        <v>-1.2431902750800901</v>
      </c>
      <c r="P218" s="153"/>
      <c r="Q218" s="153" t="str">
        <f t="shared" si="154"/>
        <v>0.00025-1.24319027508009i</v>
      </c>
      <c r="R218" s="153"/>
      <c r="S218" s="153" t="str">
        <f t="shared" si="155"/>
        <v>-0.964401033068218-0.0076530786833708i</v>
      </c>
      <c r="T218" s="153" t="str">
        <f t="shared" si="156"/>
        <v>0.00625-2.01893840664112i</v>
      </c>
      <c r="U218" s="153" t="str">
        <f t="shared" si="157"/>
        <v>0.00231188373829289-0.477684449990759i</v>
      </c>
      <c r="V218" s="321"/>
      <c r="W218" s="135"/>
      <c r="X218" s="135"/>
      <c r="Y218" s="135">
        <f t="shared" si="158"/>
        <v>0.47769004445287877</v>
      </c>
      <c r="Z218" s="135">
        <f t="shared" si="159"/>
        <v>-1.5659565927657229</v>
      </c>
      <c r="AA218" s="135">
        <f t="shared" si="160"/>
        <v>-89.722703666162502</v>
      </c>
      <c r="AB218" s="135"/>
      <c r="AC218" s="135">
        <f t="shared" si="161"/>
        <v>2.3118837382928468E-3</v>
      </c>
      <c r="AD218" s="135">
        <f t="shared" si="162"/>
        <v>-0.47768444999075899</v>
      </c>
      <c r="AE218" s="135">
        <f t="shared" si="163"/>
        <v>7.6327146699954617E-4</v>
      </c>
      <c r="AF218" s="135">
        <f t="shared" si="164"/>
        <v>7.6327146699954617E-4</v>
      </c>
    </row>
    <row r="219" spans="2:32" s="141" customFormat="1">
      <c r="B219" s="163"/>
      <c r="C219" s="319">
        <f t="shared" si="146"/>
        <v>478.63009232263926</v>
      </c>
      <c r="D219" s="319">
        <f t="shared" si="146"/>
        <v>3007.321563655616</v>
      </c>
      <c r="E219" s="319" t="str">
        <f t="shared" si="146"/>
        <v>3007.32156365562i</v>
      </c>
      <c r="F219" s="153"/>
      <c r="G219" s="320">
        <f t="shared" si="147"/>
        <v>-0.70749320597487475</v>
      </c>
      <c r="H219" s="153">
        <f t="shared" si="148"/>
        <v>3.0073215636556162E-6</v>
      </c>
      <c r="I219" s="320">
        <f t="shared" si="149"/>
        <v>-0.70749019865331109</v>
      </c>
      <c r="J219" s="153"/>
      <c r="K219" s="153" t="str">
        <f t="shared" si="150"/>
        <v>0.006-0.707490198653311i</v>
      </c>
      <c r="L219" s="153"/>
      <c r="M219" s="153">
        <f t="shared" si="151"/>
        <v>-1.1338032147033248</v>
      </c>
      <c r="N219" s="153">
        <f t="shared" si="152"/>
        <v>2.5061013030463465E-7</v>
      </c>
      <c r="O219" s="153">
        <f t="shared" si="153"/>
        <v>-1.1338029640931946</v>
      </c>
      <c r="P219" s="153"/>
      <c r="Q219" s="153" t="str">
        <f t="shared" si="154"/>
        <v>0.00025-1.13380296409319i</v>
      </c>
      <c r="R219" s="153"/>
      <c r="S219" s="153" t="str">
        <f t="shared" si="155"/>
        <v>-0.802152984300004-0.00697969033422247i</v>
      </c>
      <c r="T219" s="153" t="str">
        <f t="shared" si="156"/>
        <v>0.00625-1.8412931627465i</v>
      </c>
      <c r="U219" s="153" t="str">
        <f t="shared" si="157"/>
        <v>0.00231188087665898-0.435654381271344i</v>
      </c>
      <c r="V219" s="321"/>
      <c r="W219" s="135"/>
      <c r="X219" s="135"/>
      <c r="Y219" s="135">
        <f t="shared" si="158"/>
        <v>0.43566051544075624</v>
      </c>
      <c r="Z219" s="135">
        <f t="shared" si="159"/>
        <v>-1.5654896909044913</v>
      </c>
      <c r="AA219" s="135">
        <f t="shared" si="160"/>
        <v>-89.695952160067137</v>
      </c>
      <c r="AB219" s="135"/>
      <c r="AC219" s="135">
        <f t="shared" si="161"/>
        <v>2.3118808766590237E-3</v>
      </c>
      <c r="AD219" s="135">
        <f t="shared" si="162"/>
        <v>-0.43565438127134398</v>
      </c>
      <c r="AE219" s="135">
        <f t="shared" si="163"/>
        <v>7.6326974111407475E-4</v>
      </c>
      <c r="AF219" s="135">
        <f t="shared" si="164"/>
        <v>7.6326974111407475E-4</v>
      </c>
    </row>
    <row r="220" spans="2:32" s="141" customFormat="1" ht="18.75" customHeight="1">
      <c r="B220" s="163"/>
      <c r="C220" s="319">
        <f t="shared" ref="C220:E239" si="165">C70</f>
        <v>524.80746024977384</v>
      </c>
      <c r="D220" s="319">
        <f t="shared" si="165"/>
        <v>3297.4625233396137</v>
      </c>
      <c r="E220" s="319" t="str">
        <f t="shared" si="165"/>
        <v>3297.46252333961i</v>
      </c>
      <c r="F220" s="153"/>
      <c r="G220" s="320">
        <f t="shared" si="147"/>
        <v>-0.64524147261974885</v>
      </c>
      <c r="H220" s="153">
        <f t="shared" si="148"/>
        <v>3.2974625233396139E-6</v>
      </c>
      <c r="I220" s="320">
        <f t="shared" si="149"/>
        <v>-0.64523817515722548</v>
      </c>
      <c r="J220" s="153"/>
      <c r="K220" s="153" t="str">
        <f t="shared" si="150"/>
        <v>0.006-0.645238175157225i</v>
      </c>
      <c r="L220" s="153"/>
      <c r="M220" s="153">
        <f t="shared" si="151"/>
        <v>-1.0340408215060075</v>
      </c>
      <c r="N220" s="153">
        <f t="shared" si="152"/>
        <v>2.7478854361163444E-7</v>
      </c>
      <c r="O220" s="153">
        <f t="shared" si="153"/>
        <v>-1.0340405467174638</v>
      </c>
      <c r="P220" s="153"/>
      <c r="Q220" s="153" t="str">
        <f t="shared" si="154"/>
        <v>0.00025-1.03404054671746i</v>
      </c>
      <c r="R220" s="153"/>
      <c r="S220" s="153" t="str">
        <f t="shared" si="155"/>
        <v>-0.667200935402553-0.00636555282409407i</v>
      </c>
      <c r="T220" s="153" t="str">
        <f t="shared" si="156"/>
        <v>0.00625-1.67927872187468i</v>
      </c>
      <c r="U220" s="153" t="str">
        <f t="shared" si="157"/>
        <v>0.00231187743622801-0.397322598056668i</v>
      </c>
      <c r="V220" s="321"/>
      <c r="W220" s="135"/>
      <c r="X220" s="135"/>
      <c r="Y220" s="135">
        <f t="shared" si="158"/>
        <v>0.39732932399179988</v>
      </c>
      <c r="Z220" s="135">
        <f t="shared" si="159"/>
        <v>-1.564977751769687</v>
      </c>
      <c r="AA220" s="135">
        <f t="shared" si="160"/>
        <v>-89.666620208275276</v>
      </c>
      <c r="AB220" s="135"/>
      <c r="AC220" s="135">
        <f t="shared" si="161"/>
        <v>2.3118774362279894E-3</v>
      </c>
      <c r="AD220" s="135">
        <f t="shared" si="162"/>
        <v>-0.39732259805666797</v>
      </c>
      <c r="AE220" s="135">
        <f t="shared" si="163"/>
        <v>7.6326766615985209E-4</v>
      </c>
      <c r="AF220" s="135">
        <f t="shared" si="164"/>
        <v>7.6326766615985209E-4</v>
      </c>
    </row>
    <row r="221" spans="2:32" s="141" customFormat="1">
      <c r="B221" s="163"/>
      <c r="C221" s="319">
        <f t="shared" si="165"/>
        <v>575.43993733715809</v>
      </c>
      <c r="D221" s="319">
        <f t="shared" si="165"/>
        <v>3615.5957594411734</v>
      </c>
      <c r="E221" s="319" t="str">
        <f t="shared" si="165"/>
        <v>3615.59575944117i</v>
      </c>
      <c r="F221" s="153"/>
      <c r="G221" s="320">
        <f t="shared" si="147"/>
        <v>-0.58846721703118066</v>
      </c>
      <c r="H221" s="153">
        <f t="shared" si="148"/>
        <v>3.6155957594411734E-6</v>
      </c>
      <c r="I221" s="320">
        <f t="shared" si="149"/>
        <v>-0.5884636014354212</v>
      </c>
      <c r="J221" s="153"/>
      <c r="K221" s="153" t="str">
        <f t="shared" si="150"/>
        <v>0.006-0.588463601435421i</v>
      </c>
      <c r="L221" s="153"/>
      <c r="M221" s="153">
        <f t="shared" si="151"/>
        <v>-0.94305643754996882</v>
      </c>
      <c r="N221" s="153">
        <f t="shared" si="152"/>
        <v>3.0129964662009775E-7</v>
      </c>
      <c r="O221" s="153">
        <f t="shared" si="153"/>
        <v>-0.94305613625032225</v>
      </c>
      <c r="P221" s="153"/>
      <c r="Q221" s="153" t="str">
        <f t="shared" si="154"/>
        <v>0.00025-0.943056136250322i</v>
      </c>
      <c r="R221" s="153"/>
      <c r="S221" s="153" t="str">
        <f t="shared" si="155"/>
        <v>-0.554952710293638-0.00580545271786079i</v>
      </c>
      <c r="T221" s="153" t="str">
        <f t="shared" si="156"/>
        <v>0.00625-1.53151973768574i</v>
      </c>
      <c r="U221" s="153" t="str">
        <f t="shared" si="157"/>
        <v>0.00231187329993423-0.362363700477257i</v>
      </c>
      <c r="V221" s="321"/>
      <c r="W221" s="135"/>
      <c r="X221" s="135"/>
      <c r="Y221" s="135">
        <f t="shared" si="158"/>
        <v>0.36237107525536055</v>
      </c>
      <c r="Z221" s="135">
        <f t="shared" si="159"/>
        <v>-1.5644164329753911</v>
      </c>
      <c r="AA221" s="135">
        <f t="shared" si="160"/>
        <v>-89.634459010400732</v>
      </c>
      <c r="AB221" s="135"/>
      <c r="AC221" s="135">
        <f t="shared" si="161"/>
        <v>2.3118732999342089E-3</v>
      </c>
      <c r="AD221" s="135">
        <f t="shared" si="162"/>
        <v>-0.36236370047725702</v>
      </c>
      <c r="AE221" s="135">
        <f t="shared" si="163"/>
        <v>7.6326517154003343E-4</v>
      </c>
      <c r="AF221" s="135">
        <f t="shared" si="164"/>
        <v>7.6326517154003343E-4</v>
      </c>
    </row>
    <row r="222" spans="2:32" s="141" customFormat="1" ht="18.75" customHeight="1">
      <c r="B222" s="163"/>
      <c r="C222" s="319">
        <f t="shared" si="165"/>
        <v>630.95734448019482</v>
      </c>
      <c r="D222" s="319">
        <f t="shared" si="165"/>
        <v>3964.4219162950089</v>
      </c>
      <c r="E222" s="319" t="str">
        <f t="shared" si="165"/>
        <v>3964.42191629501i</v>
      </c>
      <c r="F222" s="153"/>
      <c r="G222" s="320">
        <f t="shared" si="147"/>
        <v>-0.53668848053804297</v>
      </c>
      <c r="H222" s="153">
        <f t="shared" si="148"/>
        <v>3.9644219162950089E-6</v>
      </c>
      <c r="I222" s="320">
        <f t="shared" si="149"/>
        <v>-0.53668451611612666</v>
      </c>
      <c r="J222" s="153"/>
      <c r="K222" s="153" t="str">
        <f t="shared" si="150"/>
        <v>0.006-0.536684516116127i</v>
      </c>
      <c r="L222" s="153"/>
      <c r="M222" s="153">
        <f t="shared" si="151"/>
        <v>-0.86007769316994054</v>
      </c>
      <c r="N222" s="153">
        <f t="shared" si="152"/>
        <v>3.3036849302458407E-7</v>
      </c>
      <c r="O222" s="153">
        <f t="shared" si="153"/>
        <v>-0.86007736280144753</v>
      </c>
      <c r="P222" s="153"/>
      <c r="Q222" s="153" t="str">
        <f t="shared" si="154"/>
        <v>0.00025-0.860077362801448i</v>
      </c>
      <c r="R222" s="153"/>
      <c r="S222" s="153" t="str">
        <f t="shared" si="155"/>
        <v>-0.46158870327753-0.00529463530583772i</v>
      </c>
      <c r="T222" s="153" t="str">
        <f t="shared" si="156"/>
        <v>0.00625-1.39676187891757i</v>
      </c>
      <c r="U222" s="153" t="str">
        <f t="shared" si="157"/>
        <v>0.00231186832703556-0.330480921209202i</v>
      </c>
      <c r="V222" s="321"/>
      <c r="W222" s="135"/>
      <c r="X222" s="135"/>
      <c r="Y222" s="135">
        <f t="shared" si="158"/>
        <v>0.3304890074093908</v>
      </c>
      <c r="Z222" s="135">
        <f t="shared" si="159"/>
        <v>-1.5638009740584691</v>
      </c>
      <c r="AA222" s="135">
        <f t="shared" si="160"/>
        <v>-89.599195811997404</v>
      </c>
      <c r="AB222" s="135"/>
      <c r="AC222" s="135">
        <f t="shared" si="161"/>
        <v>2.3118683270355435E-3</v>
      </c>
      <c r="AD222" s="135">
        <f t="shared" si="162"/>
        <v>-0.33048092120920203</v>
      </c>
      <c r="AE222" s="135">
        <f t="shared" si="163"/>
        <v>7.6326217238181868E-4</v>
      </c>
      <c r="AF222" s="135">
        <f t="shared" si="164"/>
        <v>7.6326217238181868E-4</v>
      </c>
    </row>
    <row r="223" spans="2:32" s="141" customFormat="1">
      <c r="B223" s="163"/>
      <c r="C223" s="319">
        <f t="shared" si="165"/>
        <v>691.83097091893796</v>
      </c>
      <c r="D223" s="319">
        <f t="shared" si="165"/>
        <v>4346.9021915296589</v>
      </c>
      <c r="E223" s="319" t="str">
        <f t="shared" si="165"/>
        <v>4346.90219152966i</v>
      </c>
      <c r="F223" s="153"/>
      <c r="G223" s="320">
        <f t="shared" si="147"/>
        <v>-0.48946571160814867</v>
      </c>
      <c r="H223" s="153">
        <f t="shared" si="148"/>
        <v>4.3469021915296589E-6</v>
      </c>
      <c r="I223" s="320">
        <f t="shared" si="149"/>
        <v>-0.48946136470595714</v>
      </c>
      <c r="J223" s="153"/>
      <c r="K223" s="153" t="str">
        <f t="shared" si="150"/>
        <v>0.006-0.489461364705957i</v>
      </c>
      <c r="L223" s="153"/>
      <c r="M223" s="153">
        <f t="shared" si="151"/>
        <v>-0.78440017885921243</v>
      </c>
      <c r="N223" s="153">
        <f t="shared" si="152"/>
        <v>3.622418492941382E-7</v>
      </c>
      <c r="O223" s="153">
        <f t="shared" si="153"/>
        <v>-0.78439981661736313</v>
      </c>
      <c r="P223" s="153"/>
      <c r="Q223" s="153" t="str">
        <f t="shared" si="154"/>
        <v>0.00025-0.784399816617363i</v>
      </c>
      <c r="R223" s="153"/>
      <c r="S223" s="153" t="str">
        <f t="shared" si="155"/>
        <v>-0.383931904716637-0.00482876424088067i</v>
      </c>
      <c r="T223" s="153" t="str">
        <f t="shared" si="156"/>
        <v>0.00625-1.27386118132332i</v>
      </c>
      <c r="U223" s="153" t="str">
        <f t="shared" si="157"/>
        <v>0.00231186234832562-0.30140360620571i</v>
      </c>
      <c r="V223" s="321"/>
      <c r="W223" s="135"/>
      <c r="X223" s="135"/>
      <c r="Y223" s="135">
        <f t="shared" si="158"/>
        <v>0.30141247243822589</v>
      </c>
      <c r="Z223" s="135">
        <f t="shared" si="159"/>
        <v>-1.5631261564194867</v>
      </c>
      <c r="AA223" s="135">
        <f t="shared" si="160"/>
        <v>-89.560531609342746</v>
      </c>
      <c r="AB223" s="135"/>
      <c r="AC223" s="135">
        <f t="shared" si="161"/>
        <v>2.3118623483256192E-3</v>
      </c>
      <c r="AD223" s="135">
        <f t="shared" si="162"/>
        <v>-0.30140360620570994</v>
      </c>
      <c r="AE223" s="135">
        <f t="shared" si="163"/>
        <v>7.6325856665039355E-4</v>
      </c>
      <c r="AF223" s="135">
        <f t="shared" si="164"/>
        <v>7.6325856665039355E-4</v>
      </c>
    </row>
    <row r="224" spans="2:32" s="141" customFormat="1">
      <c r="B224" s="163"/>
      <c r="C224" s="319">
        <f t="shared" si="165"/>
        <v>758.57757502918582</v>
      </c>
      <c r="D224" s="319">
        <f t="shared" si="165"/>
        <v>4766.2834737793009</v>
      </c>
      <c r="E224" s="319" t="str">
        <f t="shared" si="165"/>
        <v>4766.2834737793i</v>
      </c>
      <c r="F224" s="153"/>
      <c r="G224" s="320">
        <f t="shared" si="147"/>
        <v>-0.44639803447968501</v>
      </c>
      <c r="H224" s="153">
        <f t="shared" si="148"/>
        <v>4.7662834737793009E-6</v>
      </c>
      <c r="I224" s="320">
        <f t="shared" si="149"/>
        <v>-0.44639326819621122</v>
      </c>
      <c r="J224" s="153"/>
      <c r="K224" s="153" t="str">
        <f t="shared" si="150"/>
        <v>0.006-0.446393268196211i</v>
      </c>
      <c r="L224" s="153"/>
      <c r="M224" s="153">
        <f t="shared" si="151"/>
        <v>-0.71538146551231552</v>
      </c>
      <c r="N224" s="153">
        <f t="shared" si="152"/>
        <v>3.9719028948160839E-7</v>
      </c>
      <c r="O224" s="153">
        <f t="shared" si="153"/>
        <v>-0.71538106832202608</v>
      </c>
      <c r="P224" s="153"/>
      <c r="Q224" s="153" t="str">
        <f t="shared" si="154"/>
        <v>0.00025-0.715381068322026i</v>
      </c>
      <c r="R224" s="153"/>
      <c r="S224" s="153" t="str">
        <f t="shared" si="155"/>
        <v>-0.319339793093966-0.00440388472698121i</v>
      </c>
      <c r="T224" s="153" t="str">
        <f t="shared" si="156"/>
        <v>0.00625-1.16177433651824i</v>
      </c>
      <c r="U224" s="153" t="str">
        <f t="shared" si="157"/>
        <v>0.00231185516037761-0.27488491710516i</v>
      </c>
      <c r="V224" s="321"/>
      <c r="W224" s="135"/>
      <c r="X224" s="135"/>
      <c r="Y224" s="135">
        <f t="shared" si="158"/>
        <v>0.27489463859121233</v>
      </c>
      <c r="Z224" s="135">
        <f t="shared" si="159"/>
        <v>-1.5623862594866587</v>
      </c>
      <c r="AA224" s="135">
        <f t="shared" si="160"/>
        <v>-89.518138637817017</v>
      </c>
      <c r="AB224" s="135"/>
      <c r="AC224" s="135">
        <f t="shared" si="161"/>
        <v>2.31185516037758E-3</v>
      </c>
      <c r="AD224" s="135">
        <f t="shared" si="162"/>
        <v>-0.27488491710516</v>
      </c>
      <c r="AE224" s="135">
        <f t="shared" si="163"/>
        <v>7.6325423167975469E-4</v>
      </c>
      <c r="AF224" s="135">
        <f t="shared" si="164"/>
        <v>7.6325423167975469E-4</v>
      </c>
    </row>
    <row r="225" spans="1:48" s="141" customFormat="1">
      <c r="B225" s="163"/>
      <c r="C225" s="319">
        <f t="shared" si="165"/>
        <v>831.76377110267288</v>
      </c>
      <c r="D225" s="319">
        <f t="shared" si="165"/>
        <v>5226.1259056365989</v>
      </c>
      <c r="E225" s="319" t="str">
        <f t="shared" si="165"/>
        <v>5226.1259056366i</v>
      </c>
      <c r="F225" s="153"/>
      <c r="G225" s="320">
        <f t="shared" si="147"/>
        <v>-0.40711984611264607</v>
      </c>
      <c r="H225" s="153">
        <f t="shared" si="148"/>
        <v>5.2261259056365996E-6</v>
      </c>
      <c r="I225" s="320">
        <f t="shared" si="149"/>
        <v>-0.40711461998674042</v>
      </c>
      <c r="J225" s="153"/>
      <c r="K225" s="153" t="str">
        <f t="shared" si="150"/>
        <v>0.006-0.40711461998674i</v>
      </c>
      <c r="L225" s="153"/>
      <c r="M225" s="153">
        <f t="shared" si="151"/>
        <v>-0.65243565082154809</v>
      </c>
      <c r="N225" s="153">
        <f t="shared" si="152"/>
        <v>4.3551049213638321E-7</v>
      </c>
      <c r="O225" s="153">
        <f t="shared" si="153"/>
        <v>-0.65243521531105597</v>
      </c>
      <c r="P225" s="153"/>
      <c r="Q225" s="153" t="str">
        <f t="shared" si="154"/>
        <v>0.00025-0.652435215311056i</v>
      </c>
      <c r="R225" s="153"/>
      <c r="S225" s="153" t="str">
        <f t="shared" si="155"/>
        <v>-0.265614414747327-0.00401638994686302i</v>
      </c>
      <c r="T225" s="153" t="str">
        <f t="shared" si="156"/>
        <v>0.00625-1.0595498352978i</v>
      </c>
      <c r="U225" s="153" t="str">
        <f t="shared" si="157"/>
        <v>0.00231184651862449-0.250699735811303i</v>
      </c>
      <c r="V225" s="321"/>
      <c r="W225" s="135"/>
      <c r="X225" s="135"/>
      <c r="Y225" s="135">
        <f t="shared" si="158"/>
        <v>0.2507103950182018</v>
      </c>
      <c r="Z225" s="135">
        <f t="shared" si="159"/>
        <v>-1.561575012766357</v>
      </c>
      <c r="AA225" s="135">
        <f t="shared" si="160"/>
        <v>-89.471657624599914</v>
      </c>
      <c r="AB225" s="135"/>
      <c r="AC225" s="135">
        <f t="shared" si="161"/>
        <v>2.3118465186244791E-3</v>
      </c>
      <c r="AD225" s="135">
        <f t="shared" si="162"/>
        <v>-0.250699735811303</v>
      </c>
      <c r="AE225" s="135">
        <f t="shared" si="163"/>
        <v>7.6324902000282288E-4</v>
      </c>
      <c r="AF225" s="135">
        <f t="shared" si="164"/>
        <v>7.6324902000282288E-4</v>
      </c>
    </row>
    <row r="226" spans="1:48" s="141" customFormat="1">
      <c r="B226" s="163"/>
      <c r="C226" s="319">
        <f t="shared" si="165"/>
        <v>912.01083935591225</v>
      </c>
      <c r="D226" s="319">
        <f t="shared" si="165"/>
        <v>5730.3331058295898</v>
      </c>
      <c r="E226" s="319" t="str">
        <f t="shared" si="165"/>
        <v>5730.33310582959i</v>
      </c>
      <c r="F226" s="153"/>
      <c r="G226" s="320">
        <f t="shared" si="147"/>
        <v>-0.37129771257164296</v>
      </c>
      <c r="H226" s="153">
        <f t="shared" si="148"/>
        <v>5.7303331058295901E-6</v>
      </c>
      <c r="I226" s="320">
        <f t="shared" si="149"/>
        <v>-0.37129198223853715</v>
      </c>
      <c r="J226" s="153"/>
      <c r="K226" s="153" t="str">
        <f t="shared" si="150"/>
        <v>0.006-0.371291982238537i</v>
      </c>
      <c r="L226" s="153"/>
      <c r="M226" s="153">
        <f t="shared" si="151"/>
        <v>-0.59502838553147896</v>
      </c>
      <c r="N226" s="153">
        <f t="shared" si="152"/>
        <v>4.7752775881913251E-7</v>
      </c>
      <c r="O226" s="153">
        <f t="shared" si="153"/>
        <v>-0.59502790800372019</v>
      </c>
      <c r="P226" s="153"/>
      <c r="Q226" s="153" t="str">
        <f t="shared" si="154"/>
        <v>0.00025-0.59502790800372i</v>
      </c>
      <c r="R226" s="153"/>
      <c r="S226" s="153" t="str">
        <f t="shared" si="155"/>
        <v>-0.220927591449951-0.00366299044358195i</v>
      </c>
      <c r="T226" s="153" t="str">
        <f t="shared" si="156"/>
        <v>0.00625-0.966319890242257i</v>
      </c>
      <c r="U226" s="153" t="str">
        <f t="shared" si="157"/>
        <v>0.00231183612904045-0.228642753457519i</v>
      </c>
      <c r="V226" s="321"/>
      <c r="W226" s="135"/>
      <c r="X226" s="135"/>
      <c r="Y226" s="135">
        <f t="shared" si="158"/>
        <v>0.22865444079423292</v>
      </c>
      <c r="Z226" s="135">
        <f t="shared" si="159"/>
        <v>-1.5606855434201197</v>
      </c>
      <c r="AA226" s="135">
        <f t="shared" si="160"/>
        <v>-89.420694785054238</v>
      </c>
      <c r="AB226" s="135"/>
      <c r="AC226" s="135">
        <f t="shared" si="161"/>
        <v>2.3118361290404461E-3</v>
      </c>
      <c r="AD226" s="135">
        <f t="shared" si="162"/>
        <v>-0.22864275345751903</v>
      </c>
      <c r="AE226" s="135">
        <f t="shared" si="163"/>
        <v>7.6324275433944813E-4</v>
      </c>
      <c r="AF226" s="135">
        <f t="shared" si="164"/>
        <v>7.6324275433944813E-4</v>
      </c>
    </row>
    <row r="227" spans="1:48" s="141" customFormat="1" ht="18" customHeight="1">
      <c r="B227" s="163"/>
      <c r="C227" s="319">
        <f t="shared" si="165"/>
        <v>1000.0000000000024</v>
      </c>
      <c r="D227" s="319">
        <f t="shared" si="165"/>
        <v>6283.1853071796013</v>
      </c>
      <c r="E227" s="319" t="str">
        <f t="shared" si="165"/>
        <v>6283.1853071796i</v>
      </c>
      <c r="F227" s="153"/>
      <c r="G227" s="320">
        <f t="shared" si="147"/>
        <v>-0.33862753849339355</v>
      </c>
      <c r="H227" s="153">
        <f t="shared" si="148"/>
        <v>6.2831853071796019E-6</v>
      </c>
      <c r="I227" s="320">
        <f t="shared" si="149"/>
        <v>-0.3386212553080864</v>
      </c>
      <c r="J227" s="153"/>
      <c r="K227" s="153" t="str">
        <f t="shared" si="150"/>
        <v>0.006-0.338621255308086i</v>
      </c>
      <c r="L227" s="153"/>
      <c r="M227" s="153">
        <f t="shared" si="151"/>
        <v>-0.54267233732915621</v>
      </c>
      <c r="N227" s="153">
        <f t="shared" si="152"/>
        <v>5.2359877559830009E-7</v>
      </c>
      <c r="O227" s="153">
        <f t="shared" si="153"/>
        <v>-0.54267181373038065</v>
      </c>
      <c r="P227" s="153"/>
      <c r="Q227" s="153" t="str">
        <f t="shared" si="154"/>
        <v>0.00025-0.542671813730381i</v>
      </c>
      <c r="R227" s="153"/>
      <c r="S227" s="153" t="str">
        <f t="shared" si="155"/>
        <v>-0.183758710785697-0.00334068619620931i</v>
      </c>
      <c r="T227" s="153" t="str">
        <f t="shared" si="156"/>
        <v>0.00625-0.881293069038467i</v>
      </c>
      <c r="U227" s="153" t="str">
        <f t="shared" si="157"/>
        <v>0.00231182363814084-0.208526727532239i</v>
      </c>
      <c r="V227" s="321"/>
      <c r="W227" s="135"/>
      <c r="X227" s="135"/>
      <c r="Y227" s="135">
        <f t="shared" si="158"/>
        <v>0.20853954211093517</v>
      </c>
      <c r="Z227" s="135">
        <f t="shared" si="159"/>
        <v>-1.5597103189850292</v>
      </c>
      <c r="AA227" s="135">
        <f t="shared" si="160"/>
        <v>-89.364818540845533</v>
      </c>
      <c r="AB227" s="135"/>
      <c r="AC227" s="135">
        <f t="shared" si="161"/>
        <v>2.3118236381408381E-3</v>
      </c>
      <c r="AD227" s="135">
        <f t="shared" si="162"/>
        <v>-0.208526727532239</v>
      </c>
      <c r="AE227" s="135">
        <f t="shared" si="163"/>
        <v>7.6323522157268318E-4</v>
      </c>
      <c r="AF227" s="135">
        <f t="shared" si="164"/>
        <v>7.6323522157268318E-4</v>
      </c>
    </row>
    <row r="228" spans="1:48" s="141" customFormat="1">
      <c r="B228" s="163"/>
      <c r="C228" s="319">
        <f t="shared" si="165"/>
        <v>1096.4781961431863</v>
      </c>
      <c r="D228" s="319">
        <f t="shared" si="165"/>
        <v>6889.375691649645</v>
      </c>
      <c r="E228" s="319" t="str">
        <f t="shared" si="165"/>
        <v>6889.37569164964i</v>
      </c>
      <c r="F228" s="153"/>
      <c r="G228" s="320">
        <f t="shared" si="147"/>
        <v>-0.30883198561038583</v>
      </c>
      <c r="H228" s="153">
        <f t="shared" si="148"/>
        <v>6.8893756916496451E-6</v>
      </c>
      <c r="I228" s="320">
        <f t="shared" si="149"/>
        <v>-0.30882509623469417</v>
      </c>
      <c r="J228" s="153"/>
      <c r="K228" s="153" t="str">
        <f t="shared" si="150"/>
        <v>0.006-0.308825096234694i</v>
      </c>
      <c r="L228" s="153"/>
      <c r="M228" s="153">
        <f t="shared" si="151"/>
        <v>-0.49492305386279778</v>
      </c>
      <c r="N228" s="153">
        <f t="shared" si="152"/>
        <v>5.7411464097080372E-7</v>
      </c>
      <c r="O228" s="153">
        <f t="shared" si="153"/>
        <v>-0.49492247974815679</v>
      </c>
      <c r="P228" s="153"/>
      <c r="Q228" s="153" t="str">
        <f t="shared" si="154"/>
        <v>0.00025-0.494922479748157i</v>
      </c>
      <c r="R228" s="153"/>
      <c r="S228" s="153" t="str">
        <f t="shared" si="155"/>
        <v>-0.152842982436938-0.00304674115254762i</v>
      </c>
      <c r="T228" s="153" t="str">
        <f t="shared" si="156"/>
        <v>0.00625-0.803747575982851i</v>
      </c>
      <c r="U228" s="153" t="str">
        <f t="shared" si="157"/>
        <v>0.00231180862096111-0.190180892370219i</v>
      </c>
      <c r="V228" s="321"/>
      <c r="W228" s="135"/>
      <c r="X228" s="135"/>
      <c r="Y228" s="135">
        <f t="shared" si="158"/>
        <v>0.19019494283979474</v>
      </c>
      <c r="Z228" s="135">
        <f t="shared" si="159"/>
        <v>-1.5586410848327521</v>
      </c>
      <c r="AA228" s="135">
        <f t="shared" si="160"/>
        <v>-89.303555936608802</v>
      </c>
      <c r="AB228" s="135"/>
      <c r="AC228" s="135">
        <f t="shared" si="161"/>
        <v>2.311808620961117E-3</v>
      </c>
      <c r="AD228" s="135">
        <f t="shared" si="162"/>
        <v>-0.19018089237021904</v>
      </c>
      <c r="AE228" s="135">
        <f t="shared" si="163"/>
        <v>7.632261655094166E-4</v>
      </c>
      <c r="AF228" s="135">
        <f t="shared" si="164"/>
        <v>7.632261655094166E-4</v>
      </c>
    </row>
    <row r="229" spans="1:48" s="141" customFormat="1">
      <c r="B229" s="163"/>
      <c r="C229" s="319">
        <f t="shared" si="165"/>
        <v>1202.2644346174138</v>
      </c>
      <c r="D229" s="319">
        <f t="shared" si="165"/>
        <v>7554.0502309327067</v>
      </c>
      <c r="E229" s="319" t="str">
        <f t="shared" si="165"/>
        <v>7554.05023093271i</v>
      </c>
      <c r="F229" s="153"/>
      <c r="G229" s="320">
        <f t="shared" si="147"/>
        <v>-0.28165811841648036</v>
      </c>
      <c r="H229" s="153">
        <f t="shared" si="148"/>
        <v>7.5540502309327073E-6</v>
      </c>
      <c r="I229" s="320">
        <f t="shared" si="149"/>
        <v>-0.28165056436624941</v>
      </c>
      <c r="J229" s="153"/>
      <c r="K229" s="153" t="str">
        <f t="shared" si="150"/>
        <v>0.006-0.281650564366249i</v>
      </c>
      <c r="L229" s="153"/>
      <c r="M229" s="153">
        <f t="shared" si="151"/>
        <v>-0.45137518977000052</v>
      </c>
      <c r="N229" s="153">
        <f t="shared" si="152"/>
        <v>6.295041859110589E-7</v>
      </c>
      <c r="O229" s="153">
        <f t="shared" si="153"/>
        <v>-0.45137456026581463</v>
      </c>
      <c r="P229" s="153"/>
      <c r="Q229" s="153" t="str">
        <f t="shared" si="154"/>
        <v>0.00025-0.451374560265815i</v>
      </c>
      <c r="R229" s="153"/>
      <c r="S229" s="153" t="str">
        <f t="shared" si="155"/>
        <v>-0.127128399639434-0.00277866000268645i</v>
      </c>
      <c r="T229" s="153" t="str">
        <f t="shared" si="156"/>
        <v>0.00625-0.733025124632064i</v>
      </c>
      <c r="U229" s="153" t="str">
        <f t="shared" si="157"/>
        <v>0.00231179056660692-0.17344950951619i</v>
      </c>
      <c r="V229" s="321"/>
      <c r="W229" s="135"/>
      <c r="X229" s="135"/>
      <c r="Y229" s="135">
        <f t="shared" si="158"/>
        <v>0.17346491497427008</v>
      </c>
      <c r="Z229" s="135">
        <f t="shared" si="159"/>
        <v>-1.5574687959437099</v>
      </c>
      <c r="AA229" s="135">
        <f t="shared" si="160"/>
        <v>-89.236388730896607</v>
      </c>
      <c r="AB229" s="135"/>
      <c r="AC229" s="135">
        <f t="shared" si="161"/>
        <v>2.3117905666069048E-3</v>
      </c>
      <c r="AD229" s="135">
        <f t="shared" si="162"/>
        <v>-0.17344950951619004</v>
      </c>
      <c r="AE229" s="135">
        <f t="shared" si="163"/>
        <v>7.6321527818093535E-4</v>
      </c>
      <c r="AF229" s="135">
        <f t="shared" si="164"/>
        <v>7.6321527818093535E-4</v>
      </c>
    </row>
    <row r="230" spans="1:48" s="141" customFormat="1" ht="18" customHeight="1">
      <c r="B230" s="163"/>
      <c r="C230" s="319">
        <f t="shared" si="165"/>
        <v>1318.2567385564089</v>
      </c>
      <c r="D230" s="319">
        <f t="shared" si="165"/>
        <v>8282.8513707881102</v>
      </c>
      <c r="E230" s="319" t="str">
        <f t="shared" si="165"/>
        <v>8282.85137078811i</v>
      </c>
      <c r="F230" s="153"/>
      <c r="G230" s="320">
        <f t="shared" si="147"/>
        <v>-0.25687525698842029</v>
      </c>
      <c r="H230" s="153">
        <f t="shared" si="148"/>
        <v>8.2828513707881111E-6</v>
      </c>
      <c r="I230" s="320">
        <f t="shared" si="149"/>
        <v>-0.25686697413704951</v>
      </c>
      <c r="J230" s="153"/>
      <c r="K230" s="153" t="str">
        <f t="shared" si="150"/>
        <v>0.006-0.25686697413705i</v>
      </c>
      <c r="L230" s="153"/>
      <c r="M230" s="153">
        <f t="shared" si="151"/>
        <v>-0.4116590656865709</v>
      </c>
      <c r="N230" s="153">
        <f t="shared" si="152"/>
        <v>6.9023761423234245E-7</v>
      </c>
      <c r="O230" s="153">
        <f t="shared" si="153"/>
        <v>-0.41165837544895667</v>
      </c>
      <c r="P230" s="153"/>
      <c r="Q230" s="153" t="str">
        <f t="shared" si="154"/>
        <v>0.00025-0.411658375448957i</v>
      </c>
      <c r="R230" s="153"/>
      <c r="S230" s="153" t="str">
        <f t="shared" si="155"/>
        <v>-0.105739941279747-0.002534166996228i</v>
      </c>
      <c r="T230" s="153" t="str">
        <f t="shared" si="156"/>
        <v>0.00625-0.668525349586007i</v>
      </c>
      <c r="U230" s="153" t="str">
        <f t="shared" si="157"/>
        <v>0.00231176886088475-0.158190545654877i</v>
      </c>
      <c r="V230" s="321"/>
      <c r="W230" s="135"/>
      <c r="X230" s="135"/>
      <c r="Y230" s="135">
        <f t="shared" si="158"/>
        <v>0.15820743664522816</v>
      </c>
      <c r="Z230" s="135">
        <f t="shared" si="159"/>
        <v>-1.5561835425586299</v>
      </c>
      <c r="AA230" s="135">
        <f t="shared" si="160"/>
        <v>-89.162749136326624</v>
      </c>
      <c r="AB230" s="135"/>
      <c r="AC230" s="135">
        <f t="shared" si="161"/>
        <v>2.3117688608847585E-3</v>
      </c>
      <c r="AD230" s="135">
        <f t="shared" si="162"/>
        <v>-0.158190545654877</v>
      </c>
      <c r="AE230" s="135">
        <f t="shared" si="163"/>
        <v>7.6320218938972595E-4</v>
      </c>
      <c r="AF230" s="135">
        <f t="shared" si="164"/>
        <v>7.6320218938972595E-4</v>
      </c>
    </row>
    <row r="231" spans="1:48" s="141" customFormat="1">
      <c r="B231" s="163"/>
      <c r="C231" s="319">
        <f t="shared" si="165"/>
        <v>1445.4397707459289</v>
      </c>
      <c r="D231" s="319">
        <f t="shared" si="165"/>
        <v>9081.9659299638497</v>
      </c>
      <c r="E231" s="319" t="str">
        <f t="shared" si="165"/>
        <v>9081.96592996385i</v>
      </c>
      <c r="F231" s="153"/>
      <c r="G231" s="320">
        <f t="shared" si="147"/>
        <v>-0.23427301873577433</v>
      </c>
      <c r="H231" s="153">
        <f t="shared" si="148"/>
        <v>9.0819659299638507E-6</v>
      </c>
      <c r="I231" s="320">
        <f t="shared" si="149"/>
        <v>-0.23426393676984436</v>
      </c>
      <c r="J231" s="153"/>
      <c r="K231" s="153" t="str">
        <f t="shared" si="150"/>
        <v>0.006-0.234263936769844i</v>
      </c>
      <c r="L231" s="153"/>
      <c r="M231" s="153">
        <f t="shared" si="151"/>
        <v>-0.37543753002527935</v>
      </c>
      <c r="N231" s="153">
        <f t="shared" si="152"/>
        <v>7.5683049416365415E-7</v>
      </c>
      <c r="O231" s="153">
        <f t="shared" si="153"/>
        <v>-0.37543677319478519</v>
      </c>
      <c r="P231" s="153"/>
      <c r="Q231" s="153" t="str">
        <f t="shared" si="154"/>
        <v>0.00025-0.375436773194785i</v>
      </c>
      <c r="R231" s="153"/>
      <c r="S231" s="153" t="str">
        <f t="shared" si="155"/>
        <v>-0.0879497964967774-0.00231118662336117i</v>
      </c>
      <c r="T231" s="153" t="str">
        <f t="shared" si="156"/>
        <v>0.00625-0.609700709964629i</v>
      </c>
      <c r="U231" s="153" t="str">
        <f t="shared" si="157"/>
        <v>0.00231174276542458-0.144274466884194i</v>
      </c>
      <c r="V231" s="321"/>
      <c r="W231" s="135"/>
      <c r="X231" s="135"/>
      <c r="Y231" s="135">
        <f t="shared" si="158"/>
        <v>0.14429298648698033</v>
      </c>
      <c r="Z231" s="135">
        <f t="shared" si="159"/>
        <v>-1.5547744692625121</v>
      </c>
      <c r="AA231" s="135">
        <f t="shared" si="160"/>
        <v>-89.082015183434478</v>
      </c>
      <c r="AB231" s="135"/>
      <c r="AC231" s="135">
        <f t="shared" si="161"/>
        <v>2.3117427654245752E-3</v>
      </c>
      <c r="AD231" s="135">
        <f t="shared" si="162"/>
        <v>-0.14427446688419401</v>
      </c>
      <c r="AE231" s="135">
        <f t="shared" si="163"/>
        <v>7.6318645415058433E-4</v>
      </c>
      <c r="AF231" s="135">
        <f t="shared" si="164"/>
        <v>7.6318645415058433E-4</v>
      </c>
    </row>
    <row r="232" spans="1:48" s="141" customFormat="1">
      <c r="B232" s="163"/>
      <c r="C232" s="319">
        <f t="shared" si="165"/>
        <v>1584.8931924611156</v>
      </c>
      <c r="D232" s="319">
        <f t="shared" si="165"/>
        <v>9958.17762032063</v>
      </c>
      <c r="E232" s="319" t="str">
        <f t="shared" si="165"/>
        <v>9958.17762032063i</v>
      </c>
      <c r="F232" s="153"/>
      <c r="G232" s="320">
        <f t="shared" si="147"/>
        <v>-0.21365953245565622</v>
      </c>
      <c r="H232" s="153">
        <f t="shared" si="148"/>
        <v>9.9581776203206311E-6</v>
      </c>
      <c r="I232" s="320">
        <f t="shared" si="149"/>
        <v>-0.21364957427803591</v>
      </c>
      <c r="J232" s="153"/>
      <c r="K232" s="153" t="str">
        <f t="shared" si="150"/>
        <v>0.006-0.213649574278036i</v>
      </c>
      <c r="L232" s="153"/>
      <c r="M232" s="153">
        <f t="shared" si="151"/>
        <v>-0.3424030968840644</v>
      </c>
      <c r="N232" s="153">
        <f t="shared" si="152"/>
        <v>8.2984813502671912E-7</v>
      </c>
      <c r="O232" s="153">
        <f t="shared" si="153"/>
        <v>-0.34240226703592935</v>
      </c>
      <c r="P232" s="153"/>
      <c r="Q232" s="153" t="str">
        <f t="shared" si="154"/>
        <v>0.00025-0.342402267035929i</v>
      </c>
      <c r="R232" s="153"/>
      <c r="S232" s="153" t="str">
        <f t="shared" si="155"/>
        <v>-0.0731525985840606-0.00210782599578508i</v>
      </c>
      <c r="T232" s="153" t="str">
        <f t="shared" si="156"/>
        <v>0.00625-0.556051841313965i</v>
      </c>
      <c r="U232" s="153" t="str">
        <f t="shared" si="157"/>
        <v>0.00231171139258684-0.131583139096111i</v>
      </c>
      <c r="V232" s="321"/>
      <c r="W232" s="135"/>
      <c r="X232" s="135"/>
      <c r="Y232" s="135">
        <f t="shared" si="158"/>
        <v>0.13160344411887218</v>
      </c>
      <c r="Z232" s="135">
        <f t="shared" si="159"/>
        <v>-1.5532296870591749</v>
      </c>
      <c r="AA232" s="135">
        <f t="shared" si="160"/>
        <v>-88.993505682916336</v>
      </c>
      <c r="AB232" s="135"/>
      <c r="AC232" s="135">
        <f t="shared" si="161"/>
        <v>2.311711392586846E-3</v>
      </c>
      <c r="AD232" s="135">
        <f t="shared" si="162"/>
        <v>-0.131583139096111</v>
      </c>
      <c r="AE232" s="135">
        <f t="shared" si="163"/>
        <v>7.6316753760380829E-4</v>
      </c>
      <c r="AF232" s="135">
        <f t="shared" si="164"/>
        <v>7.6316753760380829E-4</v>
      </c>
    </row>
    <row r="233" spans="1:48" s="141" customFormat="1" ht="18.75" customHeight="1">
      <c r="B233" s="163"/>
      <c r="C233" s="319">
        <f t="shared" si="165"/>
        <v>1737.8008287493772</v>
      </c>
      <c r="D233" s="319">
        <f t="shared" si="165"/>
        <v>10918.924634002595</v>
      </c>
      <c r="E233" s="319" t="str">
        <f t="shared" si="165"/>
        <v>10918.9246340026i</v>
      </c>
      <c r="F233" s="153"/>
      <c r="G233" s="320">
        <f t="shared" si="147"/>
        <v>-0.19485980953127435</v>
      </c>
      <c r="H233" s="153">
        <f t="shared" si="148"/>
        <v>1.0918924634002596E-5</v>
      </c>
      <c r="I233" s="320">
        <f t="shared" si="149"/>
        <v>-0.19484889060664035</v>
      </c>
      <c r="J233" s="153"/>
      <c r="K233" s="153" t="str">
        <f t="shared" si="150"/>
        <v>0.006-0.19484889060664i</v>
      </c>
      <c r="L233" s="153"/>
      <c r="M233" s="153">
        <f t="shared" si="151"/>
        <v>-0.3122753357872986</v>
      </c>
      <c r="N233" s="153">
        <f t="shared" si="152"/>
        <v>9.099103861668829E-7</v>
      </c>
      <c r="O233" s="153">
        <f t="shared" si="153"/>
        <v>-0.31227442587691245</v>
      </c>
      <c r="P233" s="153"/>
      <c r="Q233" s="153" t="str">
        <f t="shared" si="154"/>
        <v>0.00025-0.312274425876912i</v>
      </c>
      <c r="R233" s="153"/>
      <c r="S233" s="153" t="str">
        <f t="shared" si="155"/>
        <v>-0.0608448254469417-0.00192235877791313i</v>
      </c>
      <c r="T233" s="153" t="str">
        <f t="shared" si="156"/>
        <v>0.00625-0.507123316483552i</v>
      </c>
      <c r="U233" s="153" t="str">
        <f t="shared" si="157"/>
        <v>0.00231167367530474-0.120008825130379i</v>
      </c>
      <c r="V233" s="321"/>
      <c r="W233" s="135"/>
      <c r="X233" s="135"/>
      <c r="Y233" s="135">
        <f t="shared" si="158"/>
        <v>0.12003108740803353</v>
      </c>
      <c r="Z233" s="135">
        <f t="shared" si="159"/>
        <v>-1.551536178012441</v>
      </c>
      <c r="AA233" s="135">
        <f t="shared" si="160"/>
        <v>-88.896474761971277</v>
      </c>
      <c r="AB233" s="135"/>
      <c r="AC233" s="135">
        <f t="shared" si="161"/>
        <v>2.3116736753047299E-3</v>
      </c>
      <c r="AD233" s="135">
        <f t="shared" si="162"/>
        <v>-0.12000882513037901</v>
      </c>
      <c r="AE233" s="135">
        <f t="shared" si="163"/>
        <v>7.6314479689473574E-4</v>
      </c>
      <c r="AF233" s="135">
        <f t="shared" si="164"/>
        <v>7.6314479689473574E-4</v>
      </c>
    </row>
    <row r="234" spans="1:48" s="141" customFormat="1">
      <c r="B234" s="163"/>
      <c r="C234" s="319">
        <f t="shared" si="165"/>
        <v>1905.4607179632501</v>
      </c>
      <c r="D234" s="319">
        <f t="shared" si="165"/>
        <v>11972.362786514559</v>
      </c>
      <c r="E234" s="319" t="str">
        <f t="shared" si="165"/>
        <v>11972.3627865146i</v>
      </c>
      <c r="F234" s="153"/>
      <c r="G234" s="320">
        <f t="shared" si="147"/>
        <v>-0.17771425844735012</v>
      </c>
      <c r="H234" s="153">
        <f t="shared" si="148"/>
        <v>1.1972362786514559E-5</v>
      </c>
      <c r="I234" s="320">
        <f t="shared" si="149"/>
        <v>-0.17770228608456359</v>
      </c>
      <c r="J234" s="153"/>
      <c r="K234" s="153" t="str">
        <f t="shared" si="150"/>
        <v>0.006-0.177702286084564i</v>
      </c>
      <c r="L234" s="153"/>
      <c r="M234" s="153">
        <f t="shared" si="151"/>
        <v>-0.28479849110152261</v>
      </c>
      <c r="N234" s="153">
        <f t="shared" si="152"/>
        <v>9.976968988762132E-7</v>
      </c>
      <c r="O234" s="153">
        <f t="shared" si="153"/>
        <v>-0.28479749340462374</v>
      </c>
      <c r="P234" s="153"/>
      <c r="Q234" s="153" t="str">
        <f t="shared" si="154"/>
        <v>0.00025-0.284797493404624i</v>
      </c>
      <c r="R234" s="153"/>
      <c r="S234" s="153" t="str">
        <f t="shared" si="155"/>
        <v>-0.0506076656491552-0.00175321053194889i</v>
      </c>
      <c r="T234" s="153" t="str">
        <f t="shared" si="156"/>
        <v>0.00625-0.462499779489188i</v>
      </c>
      <c r="U234" s="153" t="str">
        <f t="shared" si="157"/>
        <v>0.00231162833084162-0.109453270187789i</v>
      </c>
      <c r="V234" s="321"/>
      <c r="W234" s="135"/>
      <c r="X234" s="135"/>
      <c r="Y234" s="135">
        <f t="shared" si="158"/>
        <v>0.10947767800031698</v>
      </c>
      <c r="Z234" s="135">
        <f t="shared" si="159"/>
        <v>-1.5496796920685998</v>
      </c>
      <c r="AA234" s="135">
        <f t="shared" si="160"/>
        <v>-88.790105952663808</v>
      </c>
      <c r="AB234" s="135"/>
      <c r="AC234" s="135">
        <f t="shared" si="161"/>
        <v>2.3116283308416102E-3</v>
      </c>
      <c r="AD234" s="135">
        <f t="shared" si="162"/>
        <v>-0.109453270187789</v>
      </c>
      <c r="AE234" s="135">
        <f t="shared" si="163"/>
        <v>7.6311745941395339E-4</v>
      </c>
      <c r="AF234" s="135">
        <f t="shared" si="164"/>
        <v>7.6311745941395339E-4</v>
      </c>
    </row>
    <row r="235" spans="1:48" s="141" customFormat="1">
      <c r="B235" s="163"/>
      <c r="C235" s="319">
        <f t="shared" si="165"/>
        <v>2089.2961308540421</v>
      </c>
      <c r="D235" s="319">
        <f t="shared" si="165"/>
        <v>13127.434751729275</v>
      </c>
      <c r="E235" s="319" t="str">
        <f t="shared" si="165"/>
        <v>13127.4347517293i</v>
      </c>
      <c r="F235" s="153"/>
      <c r="G235" s="320">
        <f t="shared" si="147"/>
        <v>-0.16207733001208091</v>
      </c>
      <c r="H235" s="153">
        <f t="shared" si="148"/>
        <v>1.3127434751729276E-5</v>
      </c>
      <c r="I235" s="320">
        <f t="shared" si="149"/>
        <v>-0.16206420257732918</v>
      </c>
      <c r="J235" s="153"/>
      <c r="K235" s="153" t="str">
        <f t="shared" si="150"/>
        <v>0.006-0.162064202577329i</v>
      </c>
      <c r="L235" s="153"/>
      <c r="M235" s="153">
        <f t="shared" si="151"/>
        <v>-0.25973931091679625</v>
      </c>
      <c r="N235" s="153">
        <f t="shared" si="152"/>
        <v>1.0939528959774395E-6</v>
      </c>
      <c r="O235" s="153">
        <f t="shared" si="153"/>
        <v>-0.25973821696390026</v>
      </c>
      <c r="P235" s="153"/>
      <c r="Q235" s="153" t="str">
        <f t="shared" si="154"/>
        <v>0.00025-0.2597382169639i</v>
      </c>
      <c r="R235" s="153"/>
      <c r="S235" s="153" t="str">
        <f t="shared" si="155"/>
        <v>-0.0420927670111117-0.00159894535242773i</v>
      </c>
      <c r="T235" s="153" t="str">
        <f t="shared" si="156"/>
        <v>0.00625-0.421802419541229i</v>
      </c>
      <c r="U235" s="153" t="str">
        <f t="shared" si="157"/>
        <v>0.00231157381723983-0.0998268677388506i</v>
      </c>
      <c r="V235" s="321"/>
      <c r="W235" s="135"/>
      <c r="X235" s="135"/>
      <c r="Y235" s="135">
        <f t="shared" si="158"/>
        <v>9.9853627355557403E-2</v>
      </c>
      <c r="Z235" s="135">
        <f t="shared" si="159"/>
        <v>-1.5476446357419114</v>
      </c>
      <c r="AA235" s="135">
        <f t="shared" si="160"/>
        <v>-88.673505814073167</v>
      </c>
      <c r="AB235" s="135"/>
      <c r="AC235" s="135">
        <f t="shared" si="161"/>
        <v>2.3115738172398283E-3</v>
      </c>
      <c r="AD235" s="135">
        <f t="shared" si="162"/>
        <v>-9.9826867738850619E-2</v>
      </c>
      <c r="AE235" s="135">
        <f t="shared" si="163"/>
        <v>7.6308459667348365E-4</v>
      </c>
      <c r="AF235" s="135">
        <f t="shared" si="164"/>
        <v>7.6308459667348365E-4</v>
      </c>
    </row>
    <row r="236" spans="1:48" s="141" customFormat="1">
      <c r="B236" s="163"/>
      <c r="C236" s="319">
        <f t="shared" si="165"/>
        <v>2290.8676527677767</v>
      </c>
      <c r="D236" s="319">
        <f t="shared" si="165"/>
        <v>14393.94597656348</v>
      </c>
      <c r="E236" s="319" t="str">
        <f t="shared" si="165"/>
        <v>14393.9459765635i</v>
      </c>
      <c r="F236" s="153"/>
      <c r="G236" s="320">
        <f t="shared" si="147"/>
        <v>-0.14781628178488262</v>
      </c>
      <c r="H236" s="153">
        <f t="shared" si="148"/>
        <v>1.4393945976563481E-5</v>
      </c>
      <c r="I236" s="320">
        <f t="shared" si="149"/>
        <v>-0.14780188783890605</v>
      </c>
      <c r="J236" s="153"/>
      <c r="K236" s="153" t="str">
        <f t="shared" si="150"/>
        <v>0.006-0.147801887838906i</v>
      </c>
      <c r="L236" s="153"/>
      <c r="M236" s="153">
        <f t="shared" si="151"/>
        <v>-0.23688506696295292</v>
      </c>
      <c r="N236" s="153">
        <f t="shared" si="152"/>
        <v>1.1994954980469566E-6</v>
      </c>
      <c r="O236" s="153">
        <f t="shared" si="153"/>
        <v>-0.23688386746745488</v>
      </c>
      <c r="P236" s="153"/>
      <c r="Q236" s="153" t="str">
        <f t="shared" si="154"/>
        <v>0.00025-0.236883867467455i</v>
      </c>
      <c r="R236" s="153"/>
      <c r="S236" s="153" t="str">
        <f t="shared" si="155"/>
        <v>-0.0350103828102711-0.00145825367676446i</v>
      </c>
      <c r="T236" s="153" t="str">
        <f t="shared" si="156"/>
        <v>0.00625-0.384685755306361i</v>
      </c>
      <c r="U236" s="153" t="str">
        <f t="shared" si="157"/>
        <v>0.00231150828099252-0.0910478988470311i</v>
      </c>
      <c r="V236" s="321"/>
      <c r="W236" s="135"/>
      <c r="X236" s="135"/>
      <c r="Y236" s="135">
        <f t="shared" si="158"/>
        <v>9.1077236206377629E-2</v>
      </c>
      <c r="Z236" s="135">
        <f t="shared" si="159"/>
        <v>-1.5454139524509503</v>
      </c>
      <c r="AA236" s="135">
        <f t="shared" si="160"/>
        <v>-88.545697076070738</v>
      </c>
      <c r="AB236" s="135"/>
      <c r="AC236" s="135">
        <f t="shared" si="161"/>
        <v>2.3115082809925243E-3</v>
      </c>
      <c r="AD236" s="135">
        <f t="shared" si="162"/>
        <v>-9.10478988470311E-2</v>
      </c>
      <c r="AE236" s="135">
        <f t="shared" si="163"/>
        <v>7.6304509295285338E-4</v>
      </c>
      <c r="AF236" s="135">
        <f t="shared" si="164"/>
        <v>7.6304509295285338E-4</v>
      </c>
    </row>
    <row r="237" spans="1:48" s="141" customFormat="1">
      <c r="B237" s="163"/>
      <c r="C237" s="319">
        <f t="shared" si="165"/>
        <v>2511.8864315095834</v>
      </c>
      <c r="D237" s="319">
        <f t="shared" si="165"/>
        <v>15782.647919764777</v>
      </c>
      <c r="E237" s="319" t="str">
        <f t="shared" si="165"/>
        <v>15782.6479197648i</v>
      </c>
      <c r="F237" s="153"/>
      <c r="G237" s="320">
        <f t="shared" si="147"/>
        <v>-0.13481005122110051</v>
      </c>
      <c r="H237" s="153">
        <f t="shared" si="148"/>
        <v>1.5782647919764779E-5</v>
      </c>
      <c r="I237" s="320">
        <f t="shared" si="149"/>
        <v>-0.13479426857318075</v>
      </c>
      <c r="J237" s="153"/>
      <c r="K237" s="153" t="str">
        <f t="shared" si="150"/>
        <v>0.006-0.134794268573181i</v>
      </c>
      <c r="L237" s="153"/>
      <c r="M237" s="153">
        <f t="shared" si="151"/>
        <v>-0.2160417487517636</v>
      </c>
      <c r="N237" s="153">
        <f t="shared" si="152"/>
        <v>1.3152206599803981E-6</v>
      </c>
      <c r="O237" s="153">
        <f t="shared" si="153"/>
        <v>-0.21604043353110361</v>
      </c>
      <c r="P237" s="153"/>
      <c r="Q237" s="153" t="str">
        <f t="shared" si="154"/>
        <v>0.00025-0.216040433531104i</v>
      </c>
      <c r="R237" s="153"/>
      <c r="S237" s="153" t="str">
        <f t="shared" si="155"/>
        <v>-0.0291195122200581-0.00132994116832992i</v>
      </c>
      <c r="T237" s="153" t="str">
        <f t="shared" si="156"/>
        <v>0.00625-0.350834702104285i</v>
      </c>
      <c r="U237" s="153" t="str">
        <f t="shared" si="157"/>
        <v>0.00231142949417678-0.0830418384488564i</v>
      </c>
      <c r="V237" s="321"/>
      <c r="W237" s="135"/>
      <c r="X237" s="135"/>
      <c r="Y237" s="135">
        <f t="shared" si="158"/>
        <v>8.3074000982693227E-2</v>
      </c>
      <c r="Z237" s="135">
        <f t="shared" si="159"/>
        <v>-1.542968994452192</v>
      </c>
      <c r="AA237" s="135">
        <f t="shared" si="160"/>
        <v>-88.405611301655128</v>
      </c>
      <c r="AB237" s="135"/>
      <c r="AC237" s="135">
        <f t="shared" si="161"/>
        <v>2.3114294941767748E-3</v>
      </c>
      <c r="AD237" s="135">
        <f t="shared" si="162"/>
        <v>-8.3041838448856403E-2</v>
      </c>
      <c r="AE237" s="135">
        <f t="shared" si="163"/>
        <v>7.6299760768109301E-4</v>
      </c>
      <c r="AF237" s="135">
        <f t="shared" si="164"/>
        <v>7.6299760768109301E-4</v>
      </c>
    </row>
    <row r="238" spans="1:48" s="141" customFormat="1">
      <c r="A238" s="163"/>
      <c r="B238" s="163"/>
      <c r="C238" s="319">
        <f t="shared" si="165"/>
        <v>2754.2287033381713</v>
      </c>
      <c r="D238" s="319">
        <f t="shared" si="165"/>
        <v>17305.329321426681</v>
      </c>
      <c r="E238" s="319" t="str">
        <f t="shared" si="165"/>
        <v>17305.3293214267i</v>
      </c>
      <c r="F238" s="153"/>
      <c r="G238" s="320">
        <f t="shared" si="147"/>
        <v>-0.12294822796776901</v>
      </c>
      <c r="H238" s="153">
        <f t="shared" si="148"/>
        <v>1.7305329321426684E-5</v>
      </c>
      <c r="I238" s="320">
        <f t="shared" si="149"/>
        <v>-0.12293092263844758</v>
      </c>
      <c r="J238" s="153"/>
      <c r="K238" s="153" t="str">
        <f t="shared" si="150"/>
        <v>0.006-0.122930922638448i</v>
      </c>
      <c r="L238" s="153"/>
      <c r="M238" s="153">
        <f t="shared" si="151"/>
        <v>-0.19703241661501444</v>
      </c>
      <c r="N238" s="153">
        <f t="shared" si="152"/>
        <v>1.4421107767855568E-6</v>
      </c>
      <c r="O238" s="153">
        <f t="shared" si="153"/>
        <v>-0.19703097450423765</v>
      </c>
      <c r="P238" s="153"/>
      <c r="Q238" s="153" t="str">
        <f t="shared" si="154"/>
        <v>0.00025-0.197030974504238i</v>
      </c>
      <c r="R238" s="153"/>
      <c r="S238" s="153" t="str">
        <f t="shared" si="155"/>
        <v>-0.0242196994841585-0.00121291857768504i</v>
      </c>
      <c r="T238" s="153" t="str">
        <f t="shared" si="156"/>
        <v>0.00625-0.319961897142686i</v>
      </c>
      <c r="U238" s="153" t="str">
        <f t="shared" si="157"/>
        <v>0.00231133477893754-0.07574072270149i</v>
      </c>
      <c r="V238" s="321"/>
      <c r="W238" s="135"/>
      <c r="X238" s="135"/>
      <c r="Y238" s="135">
        <f t="shared" si="158"/>
        <v>7.5775981312051183E-2</v>
      </c>
      <c r="Z238" s="135">
        <f t="shared" si="159"/>
        <v>-1.5402893865462493</v>
      </c>
      <c r="AA238" s="135">
        <f t="shared" si="160"/>
        <v>-88.252081077894715</v>
      </c>
      <c r="AB238" s="135"/>
      <c r="AC238" s="135">
        <f t="shared" si="161"/>
        <v>2.3113347789375329E-3</v>
      </c>
      <c r="AD238" s="135">
        <f t="shared" si="162"/>
        <v>-7.5740722701490015E-2</v>
      </c>
      <c r="AE238" s="135">
        <f t="shared" si="163"/>
        <v>7.6294053032206744E-4</v>
      </c>
      <c r="AF238" s="135">
        <f t="shared" si="164"/>
        <v>7.6294053032206744E-4</v>
      </c>
    </row>
    <row r="239" spans="1:48" s="141" customFormat="1">
      <c r="B239" s="163"/>
      <c r="C239" s="319">
        <f t="shared" si="165"/>
        <v>3019.9517204020231</v>
      </c>
      <c r="D239" s="319">
        <f t="shared" si="165"/>
        <v>18974.916278021705</v>
      </c>
      <c r="E239" s="319" t="str">
        <f t="shared" si="165"/>
        <v>18974.9162780217i</v>
      </c>
      <c r="F239" s="153"/>
      <c r="G239" s="320">
        <f t="shared" si="147"/>
        <v>-0.11213011658620671</v>
      </c>
      <c r="H239" s="153">
        <f t="shared" si="148"/>
        <v>1.8974916278021706E-5</v>
      </c>
      <c r="I239" s="320">
        <f t="shared" si="149"/>
        <v>-0.11211114166992869</v>
      </c>
      <c r="J239" s="153"/>
      <c r="K239" s="153" t="str">
        <f t="shared" si="150"/>
        <v>0.006-0.112111141669929i</v>
      </c>
      <c r="L239" s="153"/>
      <c r="M239" s="153">
        <f t="shared" si="151"/>
        <v>-0.17969569965738252</v>
      </c>
      <c r="N239" s="153">
        <f t="shared" si="152"/>
        <v>1.5812430231684754E-6</v>
      </c>
      <c r="O239" s="153">
        <f t="shared" si="153"/>
        <v>-0.17969411841435937</v>
      </c>
      <c r="P239" s="153"/>
      <c r="Q239" s="153" t="str">
        <f t="shared" si="154"/>
        <v>0.00025-0.179694118414359i</v>
      </c>
      <c r="R239" s="153"/>
      <c r="S239" s="153" t="str">
        <f t="shared" si="155"/>
        <v>-0.0201442127668052-0.00110619249590364i</v>
      </c>
      <c r="T239" s="153" t="str">
        <f t="shared" si="156"/>
        <v>0.00625-0.291805260084288i</v>
      </c>
      <c r="U239" s="153" t="str">
        <f t="shared" si="157"/>
        <v>0.00231122091679266-0.069082572026674i</v>
      </c>
      <c r="V239" s="321"/>
      <c r="W239" s="135"/>
      <c r="X239" s="135"/>
      <c r="Y239" s="135">
        <f t="shared" si="158"/>
        <v>6.9121223223745268E-2</v>
      </c>
      <c r="Z239" s="135">
        <f t="shared" si="159"/>
        <v>-1.5373528820548403</v>
      </c>
      <c r="AA239" s="135">
        <f t="shared" si="160"/>
        <v>-88.083831764015784</v>
      </c>
      <c r="AB239" s="135"/>
      <c r="AC239" s="135">
        <f t="shared" si="161"/>
        <v>2.311220916792658E-3</v>
      </c>
      <c r="AD239" s="135">
        <f t="shared" si="162"/>
        <v>-6.9082572026674005E-2</v>
      </c>
      <c r="AE239" s="135">
        <f t="shared" si="163"/>
        <v>7.6287192629666864E-4</v>
      </c>
      <c r="AF239" s="135">
        <f t="shared" si="164"/>
        <v>7.6287192629666864E-4</v>
      </c>
    </row>
    <row r="240" spans="1:48" s="141" customFormat="1">
      <c r="B240" s="163"/>
      <c r="C240" s="319">
        <f t="shared" ref="C240:E259" si="166">C90</f>
        <v>3311.3112148259174</v>
      </c>
      <c r="D240" s="319">
        <f t="shared" si="166"/>
        <v>20805.58197249319</v>
      </c>
      <c r="E240" s="319" t="str">
        <f t="shared" si="166"/>
        <v>20805.5819724932i</v>
      </c>
      <c r="F240" s="153"/>
      <c r="G240" s="320">
        <f t="shared" si="147"/>
        <v>-0.10226388174486242</v>
      </c>
      <c r="H240" s="153">
        <f t="shared" si="148"/>
        <v>2.0805581972493191E-5</v>
      </c>
      <c r="I240" s="320">
        <f t="shared" si="149"/>
        <v>-0.10224307616288993</v>
      </c>
      <c r="J240" s="153"/>
      <c r="K240" s="153" t="str">
        <f t="shared" si="150"/>
        <v>0.006-0.10224307616289i</v>
      </c>
      <c r="L240" s="153"/>
      <c r="M240" s="153">
        <f t="shared" si="151"/>
        <v>-0.16388442587317695</v>
      </c>
      <c r="N240" s="153">
        <f t="shared" si="152"/>
        <v>1.7337984977077657E-6</v>
      </c>
      <c r="O240" s="153">
        <f t="shared" si="153"/>
        <v>-0.16388269207467923</v>
      </c>
      <c r="P240" s="153"/>
      <c r="Q240" s="153" t="str">
        <f t="shared" si="154"/>
        <v>0.00025-0.163882692074679i</v>
      </c>
      <c r="R240" s="153"/>
      <c r="S240" s="153" t="str">
        <f t="shared" si="155"/>
        <v>-0.0167543705675709-0.0010088569214888i</v>
      </c>
      <c r="T240" s="153" t="str">
        <f t="shared" si="156"/>
        <v>0.00625-0.266125768237569i</v>
      </c>
      <c r="U240" s="153" t="str">
        <f t="shared" si="157"/>
        <v>0.00231108403973166-0.0630108649525806i</v>
      </c>
      <c r="V240" s="321"/>
      <c r="W240" s="135"/>
      <c r="X240" s="135"/>
      <c r="Y240" s="135">
        <f t="shared" si="158"/>
        <v>6.3053233156683194E-2</v>
      </c>
      <c r="Z240" s="135">
        <f t="shared" si="159"/>
        <v>-1.5341352120130016</v>
      </c>
      <c r="AA240" s="135">
        <f t="shared" si="160"/>
        <v>-87.899472850752758</v>
      </c>
      <c r="AB240" s="135"/>
      <c r="AC240" s="135">
        <f t="shared" si="161"/>
        <v>2.3110840397316565E-3</v>
      </c>
      <c r="AD240" s="135">
        <f t="shared" si="162"/>
        <v>-6.3010864952580597E-2</v>
      </c>
      <c r="AE240" s="135">
        <f t="shared" si="163"/>
        <v>7.6278947220064918E-4</v>
      </c>
      <c r="AF240" s="135">
        <f t="shared" si="164"/>
        <v>7.6278947220064918E-4</v>
      </c>
      <c r="AG240" s="163"/>
      <c r="AH240" s="163"/>
      <c r="AI240" s="163"/>
      <c r="AJ240" s="163"/>
      <c r="AK240" s="163"/>
      <c r="AL240" s="163"/>
      <c r="AM240" s="163"/>
      <c r="AN240" s="163"/>
      <c r="AO240" s="163"/>
      <c r="AP240" s="163"/>
      <c r="AQ240" s="163"/>
      <c r="AR240" s="163"/>
      <c r="AS240" s="163"/>
      <c r="AT240" s="163"/>
      <c r="AU240" s="163"/>
      <c r="AV240" s="163"/>
    </row>
    <row r="241" spans="2:48" s="141" customFormat="1">
      <c r="B241" s="163"/>
      <c r="C241" s="319">
        <f t="shared" si="166"/>
        <v>3630.7805477010188</v>
      </c>
      <c r="D241" s="319">
        <f t="shared" si="166"/>
        <v>22812.866990908493</v>
      </c>
      <c r="E241" s="319" t="str">
        <f t="shared" si="166"/>
        <v>22812.8669909085i</v>
      </c>
      <c r="F241" s="153"/>
      <c r="G241" s="320">
        <f t="shared" si="147"/>
        <v>-9.3265768625925519E-2</v>
      </c>
      <c r="H241" s="153">
        <f t="shared" si="148"/>
        <v>2.2812866990908493E-5</v>
      </c>
      <c r="I241" s="320">
        <f t="shared" si="149"/>
        <v>-9.3242955758934612E-2</v>
      </c>
      <c r="J241" s="153"/>
      <c r="K241" s="153" t="str">
        <f t="shared" si="150"/>
        <v>0.006-0.0932429557589346i</v>
      </c>
      <c r="L241" s="153"/>
      <c r="M241" s="153">
        <f t="shared" si="151"/>
        <v>-0.14946437279795752</v>
      </c>
      <c r="N241" s="153">
        <f t="shared" si="152"/>
        <v>1.9010722492423744E-6</v>
      </c>
      <c r="O241" s="153">
        <f t="shared" si="153"/>
        <v>-0.14946247172570828</v>
      </c>
      <c r="P241" s="153"/>
      <c r="Q241" s="153" t="str">
        <f t="shared" si="154"/>
        <v>0.00025-0.149462471725708i</v>
      </c>
      <c r="R241" s="153"/>
      <c r="S241" s="153" t="str">
        <f t="shared" si="155"/>
        <v>-0.0139348226387412-0.000920085569293982i</v>
      </c>
      <c r="T241" s="153" t="str">
        <f t="shared" si="156"/>
        <v>0.00625-0.242705427484643i</v>
      </c>
      <c r="U241" s="153" t="str">
        <f t="shared" si="157"/>
        <v>0.00231091949948727-0.0574740582861322i</v>
      </c>
      <c r="V241" s="321"/>
      <c r="W241" s="135"/>
      <c r="X241" s="135"/>
      <c r="Y241" s="135">
        <f t="shared" si="158"/>
        <v>5.7520498301134634E-2</v>
      </c>
      <c r="Z241" s="135">
        <f t="shared" si="159"/>
        <v>-1.5306099291299748</v>
      </c>
      <c r="AA241" s="135">
        <f t="shared" si="160"/>
        <v>-87.697489019965602</v>
      </c>
      <c r="AB241" s="135"/>
      <c r="AC241" s="135">
        <f t="shared" si="161"/>
        <v>2.3109194994872695E-3</v>
      </c>
      <c r="AD241" s="135">
        <f t="shared" si="162"/>
        <v>-5.7474058286132203E-2</v>
      </c>
      <c r="AE241" s="135">
        <f t="shared" si="163"/>
        <v>7.6269037825647725E-4</v>
      </c>
      <c r="AF241" s="135">
        <f t="shared" si="164"/>
        <v>7.6269037825647725E-4</v>
      </c>
      <c r="AG241" s="163"/>
      <c r="AH241" s="163"/>
      <c r="AI241" s="163"/>
      <c r="AJ241" s="163"/>
      <c r="AK241" s="163"/>
      <c r="AL241" s="163"/>
      <c r="AM241" s="163"/>
      <c r="AN241" s="163"/>
      <c r="AO241" s="163"/>
      <c r="AP241" s="163"/>
      <c r="AQ241" s="163"/>
      <c r="AR241" s="163"/>
      <c r="AS241" s="163"/>
      <c r="AT241" s="163"/>
      <c r="AU241" s="163"/>
      <c r="AV241" s="163"/>
    </row>
    <row r="242" spans="2:48" s="141" customFormat="1">
      <c r="B242" s="163"/>
      <c r="C242" s="319">
        <f t="shared" si="166"/>
        <v>3981.0717055349769</v>
      </c>
      <c r="D242" s="319">
        <f t="shared" si="166"/>
        <v>25013.811247045742</v>
      </c>
      <c r="E242" s="319" t="str">
        <f t="shared" si="166"/>
        <v>25013.8112470457i</v>
      </c>
      <c r="F242" s="153"/>
      <c r="G242" s="320">
        <f t="shared" si="147"/>
        <v>-8.5059391927704453E-2</v>
      </c>
      <c r="H242" s="153">
        <f t="shared" si="148"/>
        <v>2.5013811247045742E-5</v>
      </c>
      <c r="I242" s="320">
        <f t="shared" si="149"/>
        <v>-8.5034378116457407E-2</v>
      </c>
      <c r="J242" s="153"/>
      <c r="K242" s="153" t="str">
        <f t="shared" si="150"/>
        <v>0.006-0.0850343781164574i</v>
      </c>
      <c r="L242" s="153"/>
      <c r="M242" s="153">
        <f t="shared" si="151"/>
        <v>-0.1363131280892699</v>
      </c>
      <c r="N242" s="153">
        <f t="shared" si="152"/>
        <v>2.084484270587145E-6</v>
      </c>
      <c r="O242" s="153">
        <f t="shared" si="153"/>
        <v>-0.13631104360499932</v>
      </c>
      <c r="P242" s="153"/>
      <c r="Q242" s="153" t="str">
        <f t="shared" si="154"/>
        <v>0.00025-0.136311043604999i</v>
      </c>
      <c r="R242" s="153"/>
      <c r="S242" s="153" t="str">
        <f t="shared" si="155"/>
        <v>-0.0115896248233564-0.000839124856159108i</v>
      </c>
      <c r="T242" s="153" t="str">
        <f t="shared" si="156"/>
        <v>0.00625-0.221345421721456i</v>
      </c>
      <c r="U242" s="153" t="str">
        <f t="shared" si="157"/>
        <v>0.00231072171065321-0.0524251495413838i</v>
      </c>
      <c r="V242" s="321"/>
      <c r="W242" s="135"/>
      <c r="X242" s="135"/>
      <c r="Y242" s="135">
        <f t="shared" si="158"/>
        <v>5.2476049196376606E-2</v>
      </c>
      <c r="Z242" s="135">
        <f t="shared" si="159"/>
        <v>-1.5267482488931088</v>
      </c>
      <c r="AA242" s="135">
        <f t="shared" si="160"/>
        <v>-87.476231040564102</v>
      </c>
      <c r="AB242" s="135"/>
      <c r="AC242" s="135">
        <f t="shared" si="161"/>
        <v>2.3107217106532124E-3</v>
      </c>
      <c r="AD242" s="135">
        <f t="shared" si="162"/>
        <v>-5.2425149541383796E-2</v>
      </c>
      <c r="AE242" s="135">
        <f t="shared" si="163"/>
        <v>7.6257129556612884E-4</v>
      </c>
      <c r="AF242" s="135">
        <f t="shared" si="164"/>
        <v>7.6257129556612884E-4</v>
      </c>
      <c r="AG242" s="163"/>
      <c r="AH242" s="163"/>
      <c r="AI242" s="163"/>
      <c r="AJ242" s="163"/>
      <c r="AK242" s="163"/>
      <c r="AL242" s="163"/>
      <c r="AM242" s="163"/>
      <c r="AN242" s="163"/>
      <c r="AO242" s="163"/>
      <c r="AP242" s="163"/>
      <c r="AQ242" s="163"/>
      <c r="AR242" s="163"/>
      <c r="AS242" s="163"/>
      <c r="AT242" s="163"/>
      <c r="AU242" s="163"/>
      <c r="AV242" s="163"/>
    </row>
    <row r="243" spans="2:48" s="141" customFormat="1">
      <c r="B243" s="163"/>
      <c r="C243" s="319">
        <f t="shared" si="166"/>
        <v>4365.1583224016704</v>
      </c>
      <c r="D243" s="319">
        <f t="shared" si="166"/>
        <v>27427.098634826867</v>
      </c>
      <c r="E243" s="319" t="str">
        <f t="shared" si="166"/>
        <v>27427.0986348269i</v>
      </c>
      <c r="F243" s="153"/>
      <c r="G243" s="320">
        <f t="shared" si="147"/>
        <v>-7.7575087427088907E-2</v>
      </c>
      <c r="H243" s="153">
        <f t="shared" si="148"/>
        <v>2.7427098634826869E-5</v>
      </c>
      <c r="I243" s="320">
        <f t="shared" si="149"/>
        <v>-7.7547660328454074E-2</v>
      </c>
      <c r="J243" s="153"/>
      <c r="K243" s="153" t="str">
        <f t="shared" si="150"/>
        <v>0.006-0.0775476603284541i</v>
      </c>
      <c r="L243" s="153"/>
      <c r="M243" s="153">
        <f t="shared" si="151"/>
        <v>-0.1243190503639245</v>
      </c>
      <c r="N243" s="153">
        <f t="shared" si="152"/>
        <v>2.2855915529022388E-6</v>
      </c>
      <c r="O243" s="153">
        <f t="shared" si="153"/>
        <v>-0.12431676477237159</v>
      </c>
      <c r="P243" s="153"/>
      <c r="Q243" s="153" t="str">
        <f t="shared" si="154"/>
        <v>0.00025-0.124316764772372i</v>
      </c>
      <c r="R243" s="153"/>
      <c r="S243" s="153" t="str">
        <f t="shared" si="155"/>
        <v>-0.00963897424770023-0.000765287503716346i</v>
      </c>
      <c r="T243" s="153" t="str">
        <f t="shared" si="156"/>
        <v>0.00625-0.201864425100826i</v>
      </c>
      <c r="U243" s="153" t="str">
        <f t="shared" si="157"/>
        <v>0.00231048396248617-0.0478212779079035i</v>
      </c>
      <c r="V243" s="321"/>
      <c r="W243" s="135"/>
      <c r="X243" s="135"/>
      <c r="Y243" s="135">
        <f t="shared" si="158"/>
        <v>4.7877060863067242E-2</v>
      </c>
      <c r="Z243" s="135">
        <f t="shared" si="159"/>
        <v>-1.5225188912845775</v>
      </c>
      <c r="AA243" s="135">
        <f t="shared" si="160"/>
        <v>-87.233906699543709</v>
      </c>
      <c r="AB243" s="135"/>
      <c r="AC243" s="135">
        <f t="shared" si="161"/>
        <v>2.3104839624861666E-3</v>
      </c>
      <c r="AD243" s="135">
        <f t="shared" si="162"/>
        <v>-4.7821277907903498E-2</v>
      </c>
      <c r="AE243" s="135">
        <f t="shared" si="163"/>
        <v>7.6242820530536125E-4</v>
      </c>
      <c r="AF243" s="135">
        <f t="shared" si="164"/>
        <v>7.6242820530536125E-4</v>
      </c>
      <c r="AG243" s="163"/>
      <c r="AH243" s="163"/>
      <c r="AI243" s="163"/>
      <c r="AJ243" s="163"/>
      <c r="AK243" s="163"/>
      <c r="AL243" s="163"/>
      <c r="AM243" s="163"/>
      <c r="AN243" s="163"/>
      <c r="AO243" s="163"/>
      <c r="AP243" s="163"/>
      <c r="AQ243" s="163"/>
      <c r="AR243" s="163"/>
      <c r="AS243" s="163"/>
      <c r="AT243" s="163"/>
      <c r="AU243" s="163"/>
      <c r="AV243" s="163"/>
    </row>
    <row r="244" spans="2:48" s="141" customFormat="1">
      <c r="B244" s="163"/>
      <c r="C244" s="319">
        <f t="shared" si="166"/>
        <v>4786.3009232263939</v>
      </c>
      <c r="D244" s="319">
        <f t="shared" si="166"/>
        <v>30073.215636556168</v>
      </c>
      <c r="E244" s="319" t="str">
        <f t="shared" si="166"/>
        <v>30073.2156365562i</v>
      </c>
      <c r="F244" s="153"/>
      <c r="G244" s="320">
        <f t="shared" si="147"/>
        <v>-7.0749320597487453E-2</v>
      </c>
      <c r="H244" s="153">
        <f t="shared" si="148"/>
        <v>3.0073215636556169E-5</v>
      </c>
      <c r="I244" s="320">
        <f t="shared" si="149"/>
        <v>-7.0719247381850897E-2</v>
      </c>
      <c r="J244" s="153"/>
      <c r="K244" s="153" t="str">
        <f t="shared" si="150"/>
        <v>0.006-0.0707192473818509i</v>
      </c>
      <c r="L244" s="153"/>
      <c r="M244" s="153">
        <f t="shared" si="151"/>
        <v>-0.11338032147033245</v>
      </c>
      <c r="N244" s="153">
        <f t="shared" si="152"/>
        <v>2.5061013030463473E-6</v>
      </c>
      <c r="O244" s="153">
        <f t="shared" si="153"/>
        <v>-0.1133778153690294</v>
      </c>
      <c r="P244" s="153"/>
      <c r="Q244" s="153" t="str">
        <f t="shared" si="154"/>
        <v>0.00025-0.113377815369029i</v>
      </c>
      <c r="R244" s="153"/>
      <c r="S244" s="153" t="str">
        <f t="shared" si="155"/>
        <v>-0.00801649377269618-0.000697946704059637i</v>
      </c>
      <c r="T244" s="153" t="str">
        <f t="shared" si="156"/>
        <v>0.00625-0.18409706275088i</v>
      </c>
      <c r="U244" s="153" t="str">
        <f t="shared" si="157"/>
        <v>0.00231019819324267-0.0436233603698034i</v>
      </c>
      <c r="V244" s="321"/>
      <c r="W244" s="135"/>
      <c r="X244" s="135"/>
      <c r="Y244" s="135">
        <f t="shared" si="158"/>
        <v>4.3684489073878341E-2</v>
      </c>
      <c r="Z244" s="135">
        <f t="shared" si="159"/>
        <v>-1.5178879280291611</v>
      </c>
      <c r="AA244" s="135">
        <f t="shared" si="160"/>
        <v>-86.96857204992817</v>
      </c>
      <c r="AB244" s="135"/>
      <c r="AC244" s="135">
        <f t="shared" si="161"/>
        <v>2.3101981932426735E-3</v>
      </c>
      <c r="AD244" s="135">
        <f t="shared" si="162"/>
        <v>-4.3623360369803403E-2</v>
      </c>
      <c r="AE244" s="135">
        <f t="shared" si="163"/>
        <v>7.6225628651562221E-4</v>
      </c>
      <c r="AF244" s="135">
        <f t="shared" si="164"/>
        <v>7.6225628651562221E-4</v>
      </c>
      <c r="AG244" s="163"/>
      <c r="AH244" s="163"/>
      <c r="AI244" s="163"/>
      <c r="AJ244" s="163"/>
      <c r="AK244" s="163"/>
      <c r="AL244" s="163"/>
      <c r="AM244" s="163"/>
      <c r="AN244" s="163"/>
      <c r="AO244" s="163"/>
      <c r="AP244" s="163"/>
      <c r="AQ244" s="163"/>
      <c r="AR244" s="163"/>
      <c r="AS244" s="163"/>
      <c r="AT244" s="163"/>
      <c r="AU244" s="163"/>
      <c r="AV244" s="163"/>
    </row>
    <row r="245" spans="2:48" s="141" customFormat="1">
      <c r="B245" s="163"/>
      <c r="C245" s="319">
        <f t="shared" si="166"/>
        <v>5248.0746024977352</v>
      </c>
      <c r="D245" s="319">
        <f t="shared" si="166"/>
        <v>32974.625233396117</v>
      </c>
      <c r="E245" s="319" t="str">
        <f t="shared" si="166"/>
        <v>32974.6252333961i</v>
      </c>
      <c r="F245" s="153"/>
      <c r="G245" s="320">
        <f t="shared" si="147"/>
        <v>-6.4524147261974918E-2</v>
      </c>
      <c r="H245" s="153">
        <f t="shared" si="148"/>
        <v>3.2974625233396116E-5</v>
      </c>
      <c r="I245" s="320">
        <f t="shared" si="149"/>
        <v>-6.449117263674152E-2</v>
      </c>
      <c r="J245" s="153"/>
      <c r="K245" s="153" t="str">
        <f t="shared" si="150"/>
        <v>0.006-0.0644911726367415i</v>
      </c>
      <c r="L245" s="153"/>
      <c r="M245" s="153">
        <f t="shared" si="151"/>
        <v>-0.10340408215060082</v>
      </c>
      <c r="N245" s="153">
        <f t="shared" si="152"/>
        <v>2.747885436116343E-6</v>
      </c>
      <c r="O245" s="153">
        <f t="shared" si="153"/>
        <v>-0.10340133426516471</v>
      </c>
      <c r="P245" s="153"/>
      <c r="Q245" s="153" t="str">
        <f t="shared" si="154"/>
        <v>0.00025-0.103401334265165i</v>
      </c>
      <c r="R245" s="153"/>
      <c r="S245" s="153" t="str">
        <f t="shared" si="155"/>
        <v>-0.00666697329896417-0.000636530798750175i</v>
      </c>
      <c r="T245" s="153" t="str">
        <f t="shared" si="156"/>
        <v>0.00625-0.167892506901906i</v>
      </c>
      <c r="U245" s="153" t="str">
        <f t="shared" si="157"/>
        <v>0.00230985471973934-0.0397957598838301i</v>
      </c>
      <c r="V245" s="321"/>
      <c r="W245" s="135"/>
      <c r="X245" s="135"/>
      <c r="Y245" s="135">
        <f t="shared" si="158"/>
        <v>3.9862738661032349E-2</v>
      </c>
      <c r="Z245" s="135">
        <f t="shared" si="159"/>
        <v>-1.5128186421894199</v>
      </c>
      <c r="AA245" s="135">
        <f t="shared" si="160"/>
        <v>-86.678123366165579</v>
      </c>
      <c r="AB245" s="135"/>
      <c r="AC245" s="135">
        <f t="shared" si="161"/>
        <v>2.309854719739335E-3</v>
      </c>
      <c r="AD245" s="135">
        <f t="shared" si="162"/>
        <v>-3.9795759883830099E-2</v>
      </c>
      <c r="AE245" s="135">
        <f t="shared" si="163"/>
        <v>7.6204975860884306E-4</v>
      </c>
      <c r="AF245" s="135">
        <f t="shared" si="164"/>
        <v>7.6204975860884306E-4</v>
      </c>
      <c r="AG245" s="163"/>
      <c r="AH245" s="163"/>
      <c r="AI245" s="163"/>
      <c r="AJ245" s="163"/>
      <c r="AK245" s="163"/>
      <c r="AL245" s="163"/>
      <c r="AM245" s="163"/>
      <c r="AN245" s="163"/>
      <c r="AO245" s="163"/>
      <c r="AP245" s="163"/>
      <c r="AQ245" s="163"/>
      <c r="AR245" s="163"/>
      <c r="AS245" s="163"/>
      <c r="AT245" s="163"/>
      <c r="AU245" s="163"/>
      <c r="AV245" s="163"/>
    </row>
    <row r="246" spans="2:48" s="141" customFormat="1">
      <c r="B246" s="163"/>
      <c r="C246" s="319">
        <f t="shared" si="166"/>
        <v>5754.3993733715879</v>
      </c>
      <c r="D246" s="319">
        <f t="shared" si="166"/>
        <v>36155.957594411782</v>
      </c>
      <c r="E246" s="319" t="str">
        <f t="shared" si="166"/>
        <v>36155.9575944118i</v>
      </c>
      <c r="F246" s="153"/>
      <c r="G246" s="320">
        <f t="shared" si="147"/>
        <v>-5.8846721703117985E-2</v>
      </c>
      <c r="H246" s="153">
        <f t="shared" si="148"/>
        <v>3.6155957594411788E-5</v>
      </c>
      <c r="I246" s="320">
        <f t="shared" si="149"/>
        <v>-5.8810565745523576E-2</v>
      </c>
      <c r="J246" s="153"/>
      <c r="K246" s="153" t="str">
        <f t="shared" si="150"/>
        <v>0.006-0.0588105657455236i</v>
      </c>
      <c r="L246" s="153"/>
      <c r="M246" s="153">
        <f t="shared" si="151"/>
        <v>-9.4305643754996754E-2</v>
      </c>
      <c r="N246" s="153">
        <f t="shared" si="152"/>
        <v>3.0129964662009817E-6</v>
      </c>
      <c r="O246" s="153">
        <f t="shared" si="153"/>
        <v>-9.4302630758530556E-2</v>
      </c>
      <c r="P246" s="153"/>
      <c r="Q246" s="153" t="str">
        <f t="shared" si="154"/>
        <v>0.00025-0.0943026307585306i</v>
      </c>
      <c r="R246" s="153"/>
      <c r="S246" s="153" t="str">
        <f t="shared" si="155"/>
        <v>-0.0055444910662004-0.000580518425987564i</v>
      </c>
      <c r="T246" s="153" t="str">
        <f t="shared" si="156"/>
        <v>0.00625-0.153113196504054i</v>
      </c>
      <c r="U246" s="153" t="str">
        <f t="shared" si="157"/>
        <v>0.00230944191346338-0.0363059827962795i</v>
      </c>
      <c r="V246" s="321"/>
      <c r="W246" s="135"/>
      <c r="X246" s="135"/>
      <c r="Y246" s="135">
        <f t="shared" si="158"/>
        <v>3.637936102731059E-2</v>
      </c>
      <c r="Z246" s="135">
        <f t="shared" si="159"/>
        <v>-1.5072714093895125</v>
      </c>
      <c r="AA246" s="135">
        <f t="shared" si="160"/>
        <v>-86.360290338754353</v>
      </c>
      <c r="AB246" s="135"/>
      <c r="AC246" s="135">
        <f t="shared" si="161"/>
        <v>2.3094419134633772E-3</v>
      </c>
      <c r="AD246" s="135">
        <f t="shared" si="162"/>
        <v>-3.6305982796279501E-2</v>
      </c>
      <c r="AE246" s="135">
        <f t="shared" si="163"/>
        <v>7.618016941081053E-4</v>
      </c>
      <c r="AF246" s="135">
        <f t="shared" si="164"/>
        <v>7.618016941081053E-4</v>
      </c>
      <c r="AG246" s="163"/>
      <c r="AH246" s="163"/>
      <c r="AI246" s="163"/>
      <c r="AJ246" s="163"/>
      <c r="AK246" s="163"/>
      <c r="AL246" s="163"/>
      <c r="AM246" s="163"/>
      <c r="AN246" s="163"/>
      <c r="AO246" s="163"/>
      <c r="AP246" s="163"/>
      <c r="AQ246" s="163"/>
      <c r="AR246" s="163"/>
      <c r="AS246" s="163"/>
      <c r="AT246" s="163"/>
      <c r="AU246" s="163"/>
      <c r="AV246" s="163"/>
    </row>
    <row r="247" spans="2:48" s="141" customFormat="1">
      <c r="B247" s="163"/>
      <c r="C247" s="319">
        <f t="shared" si="166"/>
        <v>6309.5734448019502</v>
      </c>
      <c r="D247" s="319">
        <f t="shared" si="166"/>
        <v>39644.219162950103</v>
      </c>
      <c r="E247" s="319" t="str">
        <f t="shared" si="166"/>
        <v>39644.2191629501i</v>
      </c>
      <c r="F247" s="153"/>
      <c r="G247" s="320">
        <f t="shared" si="147"/>
        <v>-5.3668848053804293E-2</v>
      </c>
      <c r="H247" s="153">
        <f t="shared" si="148"/>
        <v>3.9644219162950106E-5</v>
      </c>
      <c r="I247" s="320">
        <f t="shared" si="149"/>
        <v>-5.3629203834641342E-2</v>
      </c>
      <c r="J247" s="153"/>
      <c r="K247" s="153" t="str">
        <f t="shared" si="150"/>
        <v>0.006-0.0536292038346413i</v>
      </c>
      <c r="L247" s="153"/>
      <c r="M247" s="153">
        <f t="shared" si="151"/>
        <v>-8.6007769316994026E-2</v>
      </c>
      <c r="N247" s="153">
        <f t="shared" si="152"/>
        <v>3.303684930245842E-6</v>
      </c>
      <c r="O247" s="153">
        <f t="shared" si="153"/>
        <v>-8.6004465632063778E-2</v>
      </c>
      <c r="P247" s="153"/>
      <c r="Q247" s="153" t="str">
        <f t="shared" si="154"/>
        <v>0.00025-0.0860044656320638i</v>
      </c>
      <c r="R247" s="153"/>
      <c r="S247" s="153" t="str">
        <f t="shared" si="155"/>
        <v>-0.00461085101807135-0.000529434094751043i</v>
      </c>
      <c r="T247" s="153" t="str">
        <f t="shared" si="156"/>
        <v>0.00625-0.139633669466705i</v>
      </c>
      <c r="U247" s="153" t="str">
        <f t="shared" si="157"/>
        <v>0.00230894581297668-0.033124402925652i</v>
      </c>
      <c r="V247" s="321"/>
      <c r="W247" s="135"/>
      <c r="X247" s="135"/>
      <c r="Y247" s="135">
        <f t="shared" si="158"/>
        <v>3.3204778269824438E-2</v>
      </c>
      <c r="Z247" s="135">
        <f t="shared" si="159"/>
        <v>-1.5012036131190001</v>
      </c>
      <c r="AA247" s="135">
        <f t="shared" si="160"/>
        <v>-86.012631221508769</v>
      </c>
      <c r="AB247" s="135"/>
      <c r="AC247" s="135">
        <f t="shared" si="161"/>
        <v>2.3089458129766796E-3</v>
      </c>
      <c r="AD247" s="135">
        <f t="shared" si="162"/>
        <v>-3.3124402925651997E-2</v>
      </c>
      <c r="AE247" s="135">
        <f t="shared" si="163"/>
        <v>7.6150379651836436E-4</v>
      </c>
      <c r="AF247" s="135">
        <f t="shared" si="164"/>
        <v>7.6150379651836436E-4</v>
      </c>
      <c r="AG247" s="163"/>
      <c r="AH247" s="163"/>
      <c r="AI247" s="163"/>
      <c r="AJ247" s="163"/>
      <c r="AK247" s="163"/>
      <c r="AL247" s="163"/>
      <c r="AM247" s="163"/>
      <c r="AN247" s="163"/>
      <c r="AO247" s="163"/>
      <c r="AP247" s="163"/>
      <c r="AQ247" s="163"/>
      <c r="AR247" s="163"/>
      <c r="AS247" s="163"/>
      <c r="AT247" s="163"/>
      <c r="AU247" s="163"/>
      <c r="AV247" s="163"/>
    </row>
    <row r="248" spans="2:48" s="141" customFormat="1">
      <c r="B248" s="163"/>
      <c r="C248" s="319">
        <f t="shared" si="166"/>
        <v>6918.3097091893815</v>
      </c>
      <c r="D248" s="319">
        <f t="shared" si="166"/>
        <v>43469.021915296595</v>
      </c>
      <c r="E248" s="319" t="str">
        <f t="shared" si="166"/>
        <v>43469.0219152966i</v>
      </c>
      <c r="F248" s="153"/>
      <c r="G248" s="320">
        <f t="shared" si="147"/>
        <v>-4.8946571160814856E-2</v>
      </c>
      <c r="H248" s="153">
        <f t="shared" si="148"/>
        <v>4.3469021915296597E-5</v>
      </c>
      <c r="I248" s="320">
        <f t="shared" si="149"/>
        <v>-4.8903102138899562E-2</v>
      </c>
      <c r="J248" s="153"/>
      <c r="K248" s="153" t="str">
        <f t="shared" si="150"/>
        <v>0.006-0.0489031021388996i</v>
      </c>
      <c r="L248" s="153"/>
      <c r="M248" s="153">
        <f t="shared" si="151"/>
        <v>-7.8440017885921226E-2</v>
      </c>
      <c r="N248" s="153">
        <f t="shared" si="152"/>
        <v>3.6224184929413827E-6</v>
      </c>
      <c r="O248" s="153">
        <f t="shared" si="153"/>
        <v>-7.8436395467428283E-2</v>
      </c>
      <c r="P248" s="153"/>
      <c r="Q248" s="153" t="str">
        <f t="shared" si="154"/>
        <v>0.00025-0.0784363954674283i</v>
      </c>
      <c r="R248" s="153"/>
      <c r="S248" s="153" t="str">
        <f t="shared" si="155"/>
        <v>-0.00383428305895077-0.000482844148339295i</v>
      </c>
      <c r="T248" s="153" t="str">
        <f t="shared" si="156"/>
        <v>0.00625-0.127339497606328i</v>
      </c>
      <c r="U248" s="153" t="str">
        <f t="shared" si="157"/>
        <v>0.00230834966052459-0.030224009962937i</v>
      </c>
      <c r="V248" s="321"/>
      <c r="W248" s="135"/>
      <c r="X248" s="135"/>
      <c r="Y248" s="135">
        <f t="shared" si="158"/>
        <v>3.0312031545163039E-2</v>
      </c>
      <c r="Z248" s="135">
        <f t="shared" si="159"/>
        <v>-1.494569610601113</v>
      </c>
      <c r="AA248" s="135">
        <f t="shared" si="160"/>
        <v>-85.632530875954672</v>
      </c>
      <c r="AB248" s="135"/>
      <c r="AC248" s="135">
        <f t="shared" si="161"/>
        <v>2.3083496605245928E-3</v>
      </c>
      <c r="AD248" s="135">
        <f t="shared" si="162"/>
        <v>-3.0224009962937004E-2</v>
      </c>
      <c r="AE248" s="135">
        <f t="shared" si="163"/>
        <v>7.6114613758377324E-4</v>
      </c>
      <c r="AF248" s="135">
        <f t="shared" si="164"/>
        <v>7.6114613758377324E-4</v>
      </c>
      <c r="AG248" s="163"/>
      <c r="AH248" s="163"/>
      <c r="AI248" s="163"/>
      <c r="AJ248" s="163"/>
      <c r="AK248" s="163"/>
      <c r="AL248" s="163"/>
      <c r="AM248" s="163"/>
      <c r="AN248" s="163"/>
      <c r="AO248" s="163"/>
      <c r="AP248" s="163"/>
      <c r="AQ248" s="163"/>
      <c r="AR248" s="163"/>
      <c r="AS248" s="163"/>
      <c r="AT248" s="163"/>
      <c r="AU248" s="163"/>
      <c r="AV248" s="163"/>
    </row>
    <row r="249" spans="2:48" s="141" customFormat="1">
      <c r="B249" s="163"/>
      <c r="C249" s="319">
        <f t="shared" si="166"/>
        <v>7585.775750291853</v>
      </c>
      <c r="D249" s="319">
        <f t="shared" si="166"/>
        <v>47662.834737792975</v>
      </c>
      <c r="E249" s="319" t="str">
        <f t="shared" si="166"/>
        <v>47662.834737793i</v>
      </c>
      <c r="F249" s="153"/>
      <c r="G249" s="320">
        <f t="shared" si="147"/>
        <v>-4.4639803447968529E-2</v>
      </c>
      <c r="H249" s="153">
        <f t="shared" si="148"/>
        <v>4.7662834737792978E-5</v>
      </c>
      <c r="I249" s="320">
        <f t="shared" si="149"/>
        <v>-4.4592140613230739E-2</v>
      </c>
      <c r="J249" s="153"/>
      <c r="K249" s="153" t="str">
        <f t="shared" si="150"/>
        <v>0.006-0.0445921406132307i</v>
      </c>
      <c r="L249" s="153"/>
      <c r="M249" s="153">
        <f t="shared" si="151"/>
        <v>-7.1538146551231613E-2</v>
      </c>
      <c r="N249" s="153">
        <f t="shared" si="152"/>
        <v>3.9719028948160813E-6</v>
      </c>
      <c r="O249" s="153">
        <f t="shared" si="153"/>
        <v>-7.1534174648336793E-2</v>
      </c>
      <c r="P249" s="153"/>
      <c r="Q249" s="153" t="str">
        <f t="shared" si="154"/>
        <v>0.00025-0.0715341746483368i</v>
      </c>
      <c r="R249" s="153"/>
      <c r="S249" s="153" t="str">
        <f t="shared" si="155"/>
        <v>-0.00318836197457004-0.000440353083043328i</v>
      </c>
      <c r="T249" s="153" t="str">
        <f t="shared" si="156"/>
        <v>0.00625-0.116126315261567i</v>
      </c>
      <c r="U249" s="153" t="str">
        <f t="shared" si="157"/>
        <v>0.00230763334866753-0.0275801800460572i</v>
      </c>
      <c r="V249" s="321"/>
      <c r="W249" s="135"/>
      <c r="X249" s="135"/>
      <c r="Y249" s="135">
        <f t="shared" si="158"/>
        <v>2.7676551502035334E-2</v>
      </c>
      <c r="Z249" s="135">
        <f t="shared" si="159"/>
        <v>-1.4873207707767537</v>
      </c>
      <c r="AA249" s="135">
        <f t="shared" si="160"/>
        <v>-85.217202947652538</v>
      </c>
      <c r="AB249" s="135"/>
      <c r="AC249" s="135">
        <f t="shared" si="161"/>
        <v>2.3076333486675305E-3</v>
      </c>
      <c r="AD249" s="135">
        <f t="shared" si="162"/>
        <v>-2.7580180046057199E-2</v>
      </c>
      <c r="AE249" s="135">
        <f t="shared" si="163"/>
        <v>7.6071684758796795E-4</v>
      </c>
      <c r="AF249" s="135">
        <f t="shared" si="164"/>
        <v>7.6071684758796795E-4</v>
      </c>
      <c r="AG249" s="163"/>
      <c r="AH249" s="163"/>
      <c r="AI249" s="163"/>
      <c r="AJ249" s="163"/>
      <c r="AK249" s="163"/>
      <c r="AL249" s="163"/>
      <c r="AM249" s="163"/>
      <c r="AN249" s="163"/>
      <c r="AO249" s="163"/>
      <c r="AP249" s="163"/>
      <c r="AQ249" s="163"/>
      <c r="AR249" s="163"/>
      <c r="AS249" s="163"/>
      <c r="AT249" s="163"/>
      <c r="AU249" s="163"/>
      <c r="AV249" s="163"/>
    </row>
    <row r="250" spans="2:48" s="141" customFormat="1">
      <c r="B250" s="163"/>
      <c r="C250" s="319">
        <f t="shared" si="166"/>
        <v>8317.6377110267385</v>
      </c>
      <c r="D250" s="319">
        <f t="shared" si="166"/>
        <v>52261.259056366049</v>
      </c>
      <c r="E250" s="319" t="str">
        <f t="shared" si="166"/>
        <v>52261.259056366i</v>
      </c>
      <c r="F250" s="153"/>
      <c r="G250" s="320">
        <f t="shared" si="147"/>
        <v>-4.0711984611264559E-2</v>
      </c>
      <c r="H250" s="153">
        <f t="shared" si="148"/>
        <v>5.2261259056366053E-5</v>
      </c>
      <c r="I250" s="320">
        <f t="shared" si="149"/>
        <v>-4.0659723352208195E-2</v>
      </c>
      <c r="J250" s="153"/>
      <c r="K250" s="153" t="str">
        <f t="shared" si="150"/>
        <v>0.006-0.0406597233522082i</v>
      </c>
      <c r="L250" s="153"/>
      <c r="M250" s="153">
        <f t="shared" si="151"/>
        <v>-6.5243565082154731E-2</v>
      </c>
      <c r="N250" s="153">
        <f t="shared" si="152"/>
        <v>4.3551049213638375E-6</v>
      </c>
      <c r="O250" s="153">
        <f t="shared" si="153"/>
        <v>-6.523920997723337E-2</v>
      </c>
      <c r="P250" s="153"/>
      <c r="Q250" s="153" t="str">
        <f t="shared" si="154"/>
        <v>0.00025-0.0652392099772334i</v>
      </c>
      <c r="R250" s="153"/>
      <c r="S250" s="153" t="str">
        <f t="shared" si="155"/>
        <v>-0.00265110822939093-0.000401600190701452i</v>
      </c>
      <c r="T250" s="153" t="str">
        <f t="shared" si="156"/>
        <v>0.00625-0.105898933329442i</v>
      </c>
      <c r="U250" s="153" t="str">
        <f t="shared" si="157"/>
        <v>0.00230677276038711-0.0251704665508872i</v>
      </c>
      <c r="V250" s="321"/>
      <c r="W250" s="135"/>
      <c r="X250" s="135"/>
      <c r="Y250" s="135">
        <f t="shared" si="158"/>
        <v>2.5275948784514404E-2</v>
      </c>
      <c r="Z250" s="135">
        <f t="shared" si="159"/>
        <v>-1.4794056122248882</v>
      </c>
      <c r="AA250" s="135">
        <f t="shared" si="160"/>
        <v>-84.763697768453767</v>
      </c>
      <c r="AB250" s="135"/>
      <c r="AC250" s="135">
        <f t="shared" si="161"/>
        <v>2.3067727603871121E-3</v>
      </c>
      <c r="AD250" s="135">
        <f t="shared" si="162"/>
        <v>-2.5170466550887196E-2</v>
      </c>
      <c r="AE250" s="135">
        <f t="shared" si="163"/>
        <v>7.6020175186700676E-4</v>
      </c>
      <c r="AF250" s="135">
        <f t="shared" si="164"/>
        <v>7.6020175186700676E-4</v>
      </c>
      <c r="AG250" s="163"/>
      <c r="AH250" s="163"/>
      <c r="AI250" s="163"/>
      <c r="AJ250" s="163"/>
      <c r="AK250" s="163"/>
      <c r="AL250" s="163"/>
      <c r="AM250" s="163"/>
      <c r="AN250" s="163"/>
      <c r="AO250" s="163"/>
      <c r="AP250" s="163"/>
      <c r="AQ250" s="163"/>
      <c r="AR250" s="163"/>
      <c r="AS250" s="163"/>
      <c r="AT250" s="163"/>
      <c r="AU250" s="163"/>
      <c r="AV250" s="163"/>
    </row>
    <row r="251" spans="2:48" s="141" customFormat="1">
      <c r="B251" s="163"/>
      <c r="C251" s="319">
        <f t="shared" si="166"/>
        <v>9120.108393559125</v>
      </c>
      <c r="D251" s="319">
        <f t="shared" si="166"/>
        <v>57303.331058295917</v>
      </c>
      <c r="E251" s="319" t="str">
        <f t="shared" si="166"/>
        <v>57303.3310582959i</v>
      </c>
      <c r="F251" s="153"/>
      <c r="G251" s="320">
        <f t="shared" si="147"/>
        <v>-3.7129771257164282E-2</v>
      </c>
      <c r="H251" s="153">
        <f t="shared" si="148"/>
        <v>5.730333105829592E-5</v>
      </c>
      <c r="I251" s="320">
        <f t="shared" si="149"/>
        <v>-3.7072467926105988E-2</v>
      </c>
      <c r="J251" s="153"/>
      <c r="K251" s="153" t="str">
        <f t="shared" si="150"/>
        <v>0.006-0.037072467926106i</v>
      </c>
      <c r="L251" s="153"/>
      <c r="M251" s="153">
        <f t="shared" si="151"/>
        <v>-5.9502838553147884E-2</v>
      </c>
      <c r="N251" s="153">
        <f t="shared" si="152"/>
        <v>4.7752775881913264E-6</v>
      </c>
      <c r="O251" s="153">
        <f t="shared" si="153"/>
        <v>-5.949806327555969E-2</v>
      </c>
      <c r="P251" s="153"/>
      <c r="Q251" s="153" t="str">
        <f t="shared" si="154"/>
        <v>0.00025-0.0594980632755597i</v>
      </c>
      <c r="R251" s="153"/>
      <c r="S251" s="153" t="str">
        <f t="shared" si="155"/>
        <v>-0.00220424004244861-0.000366256496634885i</v>
      </c>
      <c r="T251" s="153" t="str">
        <f t="shared" si="156"/>
        <v>0.00625-0.0965705312016657i</v>
      </c>
      <c r="U251" s="153" t="str">
        <f t="shared" si="157"/>
        <v>0.002305738983494-0.0229744093098369i</v>
      </c>
      <c r="V251" s="321"/>
      <c r="W251" s="135"/>
      <c r="X251" s="135"/>
      <c r="Y251" s="135">
        <f t="shared" si="158"/>
        <v>2.3089822766663333E-2</v>
      </c>
      <c r="Z251" s="135">
        <f t="shared" si="159"/>
        <v>-1.4707700764514908</v>
      </c>
      <c r="AA251" s="135">
        <f t="shared" si="160"/>
        <v>-84.268918014803859</v>
      </c>
      <c r="AB251" s="135"/>
      <c r="AC251" s="135">
        <f t="shared" si="161"/>
        <v>2.3057389834939979E-3</v>
      </c>
      <c r="AD251" s="135">
        <f t="shared" si="162"/>
        <v>-2.29744093098369E-2</v>
      </c>
      <c r="AE251" s="135">
        <f t="shared" si="163"/>
        <v>7.5958394644754846E-4</v>
      </c>
      <c r="AF251" s="135">
        <f t="shared" si="164"/>
        <v>7.5958394644754846E-4</v>
      </c>
      <c r="AG251" s="163"/>
      <c r="AH251" s="163"/>
      <c r="AI251" s="163"/>
      <c r="AJ251" s="163"/>
      <c r="AK251" s="163"/>
      <c r="AL251" s="163"/>
      <c r="AM251" s="163"/>
      <c r="AN251" s="163"/>
      <c r="AO251" s="163"/>
      <c r="AP251" s="163"/>
      <c r="AQ251" s="163"/>
      <c r="AR251" s="163"/>
      <c r="AS251" s="163"/>
      <c r="AT251" s="163"/>
      <c r="AU251" s="163"/>
      <c r="AV251" s="163"/>
    </row>
    <row r="252" spans="2:48" s="141" customFormat="1">
      <c r="B252" s="163"/>
      <c r="C252" s="319">
        <f t="shared" si="166"/>
        <v>10000.000000000027</v>
      </c>
      <c r="D252" s="319">
        <f t="shared" si="166"/>
        <v>62831.853071796031</v>
      </c>
      <c r="E252" s="319" t="str">
        <f t="shared" si="166"/>
        <v>62831.853071796i</v>
      </c>
      <c r="F252" s="153"/>
      <c r="G252" s="320">
        <f t="shared" si="147"/>
        <v>-3.3862753849339344E-2</v>
      </c>
      <c r="H252" s="153">
        <f t="shared" si="148"/>
        <v>6.2831853071796033E-5</v>
      </c>
      <c r="I252" s="320">
        <f t="shared" si="149"/>
        <v>-3.3799921996267551E-2</v>
      </c>
      <c r="J252" s="153"/>
      <c r="K252" s="153" t="str">
        <f t="shared" si="150"/>
        <v>0.006-0.0337999219962676i</v>
      </c>
      <c r="L252" s="153"/>
      <c r="M252" s="153">
        <f t="shared" si="151"/>
        <v>-5.4267233732915608E-2</v>
      </c>
      <c r="N252" s="153">
        <f t="shared" si="152"/>
        <v>5.2359877559830021E-6</v>
      </c>
      <c r="O252" s="153">
        <f t="shared" si="153"/>
        <v>-5.4261997745159628E-2</v>
      </c>
      <c r="P252" s="153"/>
      <c r="Q252" s="153" t="str">
        <f t="shared" si="154"/>
        <v>0.00025-0.0542619977451596i</v>
      </c>
      <c r="R252" s="153"/>
      <c r="S252" s="153" t="str">
        <f t="shared" si="155"/>
        <v>-0.00183255129114804-0.000334021966970025i</v>
      </c>
      <c r="T252" s="153" t="str">
        <f t="shared" si="156"/>
        <v>0.00625-0.0880619197414272i</v>
      </c>
      <c r="U252" s="153" t="str">
        <f t="shared" si="157"/>
        <v>0.00230449737731917-0.0209733606214744i</v>
      </c>
      <c r="V252" s="321"/>
      <c r="W252" s="135"/>
      <c r="X252" s="135"/>
      <c r="Y252" s="135">
        <f t="shared" si="158"/>
        <v>2.1099586818714815E-2</v>
      </c>
      <c r="Z252" s="135">
        <f t="shared" si="159"/>
        <v>-1.4613579809961872</v>
      </c>
      <c r="AA252" s="135">
        <f t="shared" si="160"/>
        <v>-83.729644668840692</v>
      </c>
      <c r="AB252" s="135"/>
      <c r="AC252" s="135">
        <f t="shared" si="161"/>
        <v>2.304497377319172E-3</v>
      </c>
      <c r="AD252" s="135">
        <f t="shared" si="162"/>
        <v>-2.09733606214744E-2</v>
      </c>
      <c r="AE252" s="135">
        <f t="shared" si="163"/>
        <v>7.5884330586934107E-4</v>
      </c>
      <c r="AF252" s="135">
        <f t="shared" si="164"/>
        <v>7.5884330586934107E-4</v>
      </c>
      <c r="AG252" s="163"/>
      <c r="AH252" s="163"/>
      <c r="AI252" s="163"/>
      <c r="AJ252" s="163"/>
      <c r="AK252" s="163"/>
      <c r="AL252" s="163"/>
      <c r="AM252" s="163"/>
      <c r="AN252" s="163"/>
      <c r="AO252" s="163"/>
      <c r="AP252" s="163"/>
      <c r="AQ252" s="163"/>
      <c r="AR252" s="163"/>
      <c r="AS252" s="163"/>
      <c r="AT252" s="163"/>
      <c r="AU252" s="163"/>
      <c r="AV252" s="163"/>
    </row>
    <row r="253" spans="2:48" s="141" customFormat="1">
      <c r="B253" s="163"/>
      <c r="C253" s="319">
        <f t="shared" si="166"/>
        <v>10964.781961431856</v>
      </c>
      <c r="D253" s="319">
        <f t="shared" si="166"/>
        <v>68893.756916496408</v>
      </c>
      <c r="E253" s="319" t="str">
        <f t="shared" si="166"/>
        <v>68893.7569164964i</v>
      </c>
      <c r="F253" s="153"/>
      <c r="G253" s="320">
        <f t="shared" si="147"/>
        <v>-3.0883198561038605E-2</v>
      </c>
      <c r="H253" s="153">
        <f t="shared" si="148"/>
        <v>6.8893756916496405E-5</v>
      </c>
      <c r="I253" s="320">
        <f t="shared" si="149"/>
        <v>-3.081430480412211E-2</v>
      </c>
      <c r="J253" s="153"/>
      <c r="K253" s="153" t="str">
        <f t="shared" si="150"/>
        <v>0.006-0.0308143048041221i</v>
      </c>
      <c r="L253" s="153"/>
      <c r="M253" s="153">
        <f t="shared" si="151"/>
        <v>-4.9492305386279807E-2</v>
      </c>
      <c r="N253" s="153">
        <f t="shared" si="152"/>
        <v>5.7411464097080341E-6</v>
      </c>
      <c r="O253" s="153">
        <f t="shared" si="153"/>
        <v>-4.94865642398701E-2</v>
      </c>
      <c r="P253" s="153"/>
      <c r="Q253" s="153" t="str">
        <f t="shared" si="154"/>
        <v>0.00025-0.0494865642398701i</v>
      </c>
      <c r="R253" s="153"/>
      <c r="S253" s="153" t="str">
        <f t="shared" si="155"/>
        <v>-0.00152339407419613-0.000304622961640251i</v>
      </c>
      <c r="T253" s="153" t="str">
        <f t="shared" si="156"/>
        <v>0.00625-0.0803008690439922i</v>
      </c>
      <c r="U253" s="153" t="str">
        <f t="shared" si="157"/>
        <v>0.00230300646669304-0.0191503265521385i</v>
      </c>
      <c r="V253" s="321"/>
      <c r="W253" s="135"/>
      <c r="X253" s="135"/>
      <c r="Y253" s="135">
        <f t="shared" si="158"/>
        <v>1.9288308527166679E-2</v>
      </c>
      <c r="Z253" s="135">
        <f t="shared" si="159"/>
        <v>-1.4511117071400537</v>
      </c>
      <c r="AA253" s="135">
        <f t="shared" si="160"/>
        <v>-83.142576421149002</v>
      </c>
      <c r="AB253" s="135"/>
      <c r="AC253" s="135">
        <f t="shared" si="161"/>
        <v>2.3030064666930408E-3</v>
      </c>
      <c r="AD253" s="135">
        <f t="shared" si="162"/>
        <v>-1.91503265521385E-2</v>
      </c>
      <c r="AE253" s="135">
        <f t="shared" si="163"/>
        <v>7.5795591705287422E-4</v>
      </c>
      <c r="AF253" s="135">
        <f t="shared" si="164"/>
        <v>7.5795591705287422E-4</v>
      </c>
      <c r="AG253" s="163"/>
      <c r="AH253" s="163"/>
      <c r="AI253" s="163"/>
      <c r="AJ253" s="163"/>
      <c r="AK253" s="163"/>
      <c r="AL253" s="163"/>
      <c r="AM253" s="163"/>
      <c r="AN253" s="163"/>
      <c r="AO253" s="163"/>
      <c r="AP253" s="163"/>
      <c r="AQ253" s="163"/>
      <c r="AR253" s="163"/>
      <c r="AS253" s="163"/>
      <c r="AT253" s="163"/>
      <c r="AU253" s="163"/>
      <c r="AV253" s="163"/>
    </row>
    <row r="254" spans="2:48" s="141" customFormat="1">
      <c r="B254" s="163"/>
      <c r="C254" s="319">
        <f t="shared" si="166"/>
        <v>12022.644346174151</v>
      </c>
      <c r="D254" s="319">
        <f t="shared" si="166"/>
        <v>75540.502309327145</v>
      </c>
      <c r="E254" s="319" t="str">
        <f t="shared" si="166"/>
        <v>75540.5023093271i</v>
      </c>
      <c r="F254" s="153"/>
      <c r="G254" s="320">
        <f t="shared" si="147"/>
        <v>-2.8165811841648007E-2</v>
      </c>
      <c r="H254" s="153">
        <f t="shared" si="148"/>
        <v>7.5540502309327147E-5</v>
      </c>
      <c r="I254" s="320">
        <f t="shared" si="149"/>
        <v>-2.8090271339338679E-2</v>
      </c>
      <c r="J254" s="153"/>
      <c r="K254" s="153" t="str">
        <f t="shared" si="150"/>
        <v>0.006-0.0280902713393387i</v>
      </c>
      <c r="L254" s="153"/>
      <c r="M254" s="153">
        <f t="shared" si="151"/>
        <v>-4.513751897700001E-2</v>
      </c>
      <c r="N254" s="153">
        <f t="shared" si="152"/>
        <v>6.2950418591105947E-6</v>
      </c>
      <c r="O254" s="153">
        <f t="shared" si="153"/>
        <v>-4.51312239351409E-2</v>
      </c>
      <c r="P254" s="153"/>
      <c r="Q254" s="153" t="str">
        <f t="shared" si="154"/>
        <v>0.00025-0.0451312239351409i</v>
      </c>
      <c r="R254" s="153"/>
      <c r="S254" s="153" t="str">
        <f t="shared" si="155"/>
        <v>-0.00126624832621457-0.00027780991144568i</v>
      </c>
      <c r="T254" s="153" t="str">
        <f t="shared" si="156"/>
        <v>0.00625-0.0732214952744796i</v>
      </c>
      <c r="U254" s="153" t="str">
        <f t="shared" si="157"/>
        <v>0.00230121663526369-0.0174898221537865i</v>
      </c>
      <c r="V254" s="321"/>
      <c r="W254" s="135"/>
      <c r="X254" s="135"/>
      <c r="Y254" s="135">
        <f t="shared" si="158"/>
        <v>1.7640563397281147E-2</v>
      </c>
      <c r="Z254" s="135">
        <f t="shared" si="159"/>
        <v>-1.4399731882961015</v>
      </c>
      <c r="AA254" s="135">
        <f t="shared" si="160"/>
        <v>-82.50438630136361</v>
      </c>
      <c r="AB254" s="135"/>
      <c r="AC254" s="135">
        <f t="shared" si="161"/>
        <v>2.3012166352636893E-3</v>
      </c>
      <c r="AD254" s="135">
        <f t="shared" si="162"/>
        <v>-1.74898221537865E-2</v>
      </c>
      <c r="AE254" s="135">
        <f t="shared" si="163"/>
        <v>7.5689343488884978E-4</v>
      </c>
      <c r="AF254" s="135">
        <f t="shared" si="164"/>
        <v>7.5689343488884978E-4</v>
      </c>
      <c r="AG254" s="163"/>
      <c r="AH254" s="163"/>
      <c r="AI254" s="163"/>
      <c r="AJ254" s="163"/>
      <c r="AK254" s="163"/>
      <c r="AL254" s="163"/>
      <c r="AM254" s="163"/>
      <c r="AN254" s="163"/>
      <c r="AO254" s="163"/>
      <c r="AP254" s="163"/>
      <c r="AQ254" s="163"/>
      <c r="AR254" s="163"/>
      <c r="AS254" s="163"/>
      <c r="AT254" s="163"/>
      <c r="AU254" s="163"/>
      <c r="AV254" s="163"/>
    </row>
    <row r="255" spans="2:48" s="141" customFormat="1" ht="15.75" customHeight="1">
      <c r="B255" s="163"/>
      <c r="C255" s="319">
        <f t="shared" si="166"/>
        <v>13182.567385564091</v>
      </c>
      <c r="D255" s="319">
        <f t="shared" si="166"/>
        <v>82828.513707881109</v>
      </c>
      <c r="E255" s="319" t="str">
        <f t="shared" si="166"/>
        <v>82828.5137078811i</v>
      </c>
      <c r="F255" s="153"/>
      <c r="G255" s="320">
        <f t="shared" si="147"/>
        <v>-2.5687525698842029E-2</v>
      </c>
      <c r="H255" s="153">
        <f t="shared" si="148"/>
        <v>8.2828513707881111E-5</v>
      </c>
      <c r="I255" s="320">
        <f t="shared" si="149"/>
        <v>-2.5604697185134147E-2</v>
      </c>
      <c r="J255" s="153"/>
      <c r="K255" s="153" t="str">
        <f t="shared" si="150"/>
        <v>0.006-0.0256046971851341i</v>
      </c>
      <c r="L255" s="153"/>
      <c r="M255" s="153">
        <f t="shared" si="151"/>
        <v>-4.1165906568657089E-2</v>
      </c>
      <c r="N255" s="153">
        <f t="shared" si="152"/>
        <v>6.9023761423234254E-6</v>
      </c>
      <c r="O255" s="153">
        <f t="shared" si="153"/>
        <v>-4.1159004192514767E-2</v>
      </c>
      <c r="P255" s="153"/>
      <c r="Q255" s="153" t="str">
        <f t="shared" si="154"/>
        <v>0.00025-0.0411590041925148i</v>
      </c>
      <c r="R255" s="153"/>
      <c r="S255" s="153" t="str">
        <f t="shared" si="155"/>
        <v>-0.00105236383879101-0.000253355199451372i</v>
      </c>
      <c r="T255" s="153" t="str">
        <f t="shared" si="156"/>
        <v>0.00625-0.0667637013776489i</v>
      </c>
      <c r="U255" s="153" t="str">
        <f t="shared" si="157"/>
        <v>0.00229906858754052-0.0159777393321734i</v>
      </c>
      <c r="V255" s="321"/>
      <c r="W255" s="135"/>
      <c r="X255" s="135"/>
      <c r="Y255" s="135">
        <f t="shared" si="158"/>
        <v>1.614230065811861E-2</v>
      </c>
      <c r="Z255" s="135">
        <f t="shared" si="159"/>
        <v>-1.4278852766446539</v>
      </c>
      <c r="AA255" s="135">
        <f t="shared" si="160"/>
        <v>-81.811799980608654</v>
      </c>
      <c r="AB255" s="135"/>
      <c r="AC255" s="135">
        <f t="shared" si="161"/>
        <v>2.2990685875405202E-3</v>
      </c>
      <c r="AD255" s="135">
        <f t="shared" si="162"/>
        <v>-1.5977739332173401E-2</v>
      </c>
      <c r="AE255" s="135">
        <f t="shared" si="163"/>
        <v>7.5562235854886005E-4</v>
      </c>
      <c r="AF255" s="135">
        <f t="shared" si="164"/>
        <v>7.5562235854886005E-4</v>
      </c>
      <c r="AG255" s="163"/>
      <c r="AH255" s="163"/>
      <c r="AI255" s="163"/>
      <c r="AJ255" s="163"/>
      <c r="AK255" s="163"/>
      <c r="AL255" s="163"/>
      <c r="AM255" s="163"/>
      <c r="AN255" s="163"/>
      <c r="AO255" s="163"/>
      <c r="AP255" s="163"/>
      <c r="AQ255" s="163"/>
      <c r="AR255" s="163"/>
      <c r="AS255" s="163"/>
      <c r="AT255" s="163"/>
      <c r="AU255" s="163"/>
      <c r="AV255" s="163"/>
    </row>
    <row r="256" spans="2:48" s="141" customFormat="1">
      <c r="B256" s="163"/>
      <c r="C256" s="319">
        <f t="shared" si="166"/>
        <v>14454.397707459291</v>
      </c>
      <c r="D256" s="319">
        <f t="shared" si="166"/>
        <v>90819.659299638515</v>
      </c>
      <c r="E256" s="319" t="str">
        <f t="shared" si="166"/>
        <v>90819.6592996385i</v>
      </c>
      <c r="F256" s="153"/>
      <c r="G256" s="320">
        <f t="shared" si="147"/>
        <v>-2.3427301873577427E-2</v>
      </c>
      <c r="H256" s="153">
        <f t="shared" si="148"/>
        <v>9.0819659299638523E-5</v>
      </c>
      <c r="I256" s="320">
        <f t="shared" si="149"/>
        <v>-2.3336482214277789E-2</v>
      </c>
      <c r="J256" s="153"/>
      <c r="K256" s="153" t="str">
        <f t="shared" si="150"/>
        <v>0.006-0.0233364822142778i</v>
      </c>
      <c r="L256" s="153"/>
      <c r="M256" s="153">
        <f t="shared" si="151"/>
        <v>-3.7543753002527921E-2</v>
      </c>
      <c r="N256" s="153">
        <f t="shared" si="152"/>
        <v>7.5683049416365428E-6</v>
      </c>
      <c r="O256" s="153">
        <f t="shared" si="153"/>
        <v>-3.7536184697586288E-2</v>
      </c>
      <c r="P256" s="153"/>
      <c r="Q256" s="153" t="str">
        <f t="shared" si="154"/>
        <v>0.00025-0.0375361846975863i</v>
      </c>
      <c r="R256" s="153"/>
      <c r="S256" s="153" t="str">
        <f t="shared" si="155"/>
        <v>-0.000874462506587069-0.000231051228739087i</v>
      </c>
      <c r="T256" s="153" t="str">
        <f t="shared" si="156"/>
        <v>0.00625-0.0608726669118641i</v>
      </c>
      <c r="U256" s="153" t="str">
        <f t="shared" si="157"/>
        <v>0.00229649154708767-0.0146012261963692i</v>
      </c>
      <c r="V256" s="321"/>
      <c r="W256" s="135"/>
      <c r="X256" s="135"/>
      <c r="Y256" s="135">
        <f t="shared" si="158"/>
        <v>1.4780719869593067E-2</v>
      </c>
      <c r="Z256" s="135">
        <f t="shared" si="159"/>
        <v>-1.4147935758128825</v>
      </c>
      <c r="AA256" s="135">
        <f t="shared" si="160"/>
        <v>-81.061700776300228</v>
      </c>
      <c r="AB256" s="135"/>
      <c r="AC256" s="135">
        <f t="shared" si="161"/>
        <v>2.2964915470876711E-3</v>
      </c>
      <c r="AD256" s="135">
        <f t="shared" si="162"/>
        <v>-1.4601226196369199E-2</v>
      </c>
      <c r="AE256" s="135">
        <f t="shared" si="163"/>
        <v>7.5410323300925176E-4</v>
      </c>
      <c r="AF256" s="135">
        <f t="shared" si="164"/>
        <v>7.5410323300925176E-4</v>
      </c>
      <c r="AG256" s="163"/>
      <c r="AH256" s="163"/>
      <c r="AI256" s="163"/>
      <c r="AJ256" s="163"/>
      <c r="AK256" s="163"/>
      <c r="AL256" s="163"/>
      <c r="AM256" s="163"/>
      <c r="AN256" s="163"/>
      <c r="AO256" s="163"/>
      <c r="AP256" s="163"/>
      <c r="AQ256" s="163"/>
      <c r="AR256" s="163"/>
      <c r="AS256" s="163"/>
      <c r="AT256" s="163"/>
      <c r="AU256" s="163"/>
      <c r="AV256" s="163"/>
    </row>
    <row r="257" spans="2:48" s="141" customFormat="1">
      <c r="B257" s="163"/>
      <c r="C257" s="319">
        <f t="shared" si="166"/>
        <v>15848.931924611146</v>
      </c>
      <c r="D257" s="319">
        <f t="shared" si="166"/>
        <v>99581.776203206231</v>
      </c>
      <c r="E257" s="319" t="str">
        <f t="shared" si="166"/>
        <v>99581.7762032062i</v>
      </c>
      <c r="F257" s="153"/>
      <c r="G257" s="320">
        <f t="shared" si="147"/>
        <v>-2.1365953245565637E-2</v>
      </c>
      <c r="H257" s="153">
        <f t="shared" si="148"/>
        <v>9.9581776203206237E-5</v>
      </c>
      <c r="I257" s="320">
        <f t="shared" si="149"/>
        <v>-2.126637146936243E-2</v>
      </c>
      <c r="J257" s="153"/>
      <c r="K257" s="153" t="str">
        <f t="shared" si="150"/>
        <v>0.006-0.0212663714693624i</v>
      </c>
      <c r="L257" s="153"/>
      <c r="M257" s="153">
        <f t="shared" si="151"/>
        <v>-3.4240309688406467E-2</v>
      </c>
      <c r="N257" s="153">
        <f t="shared" si="152"/>
        <v>8.2984813502671853E-6</v>
      </c>
      <c r="O257" s="153">
        <f t="shared" si="153"/>
        <v>-3.4232011207056198E-2</v>
      </c>
      <c r="P257" s="153"/>
      <c r="Q257" s="153" t="str">
        <f t="shared" si="154"/>
        <v>0.00025-0.0342320112070562i</v>
      </c>
      <c r="R257" s="153"/>
      <c r="S257" s="153" t="str">
        <f t="shared" si="155"/>
        <v>-0.000726490666472634-0.000210708660109678i</v>
      </c>
      <c r="T257" s="153" t="str">
        <f t="shared" si="156"/>
        <v>0.00625-0.0554983826764186i</v>
      </c>
      <c r="U257" s="153" t="str">
        <f t="shared" si="157"/>
        <v>0.00229340115766418-0.0133485768049744i</v>
      </c>
      <c r="V257" s="321"/>
      <c r="W257" s="135"/>
      <c r="X257" s="135"/>
      <c r="Y257" s="135">
        <f t="shared" si="158"/>
        <v>1.354415710143219E-2</v>
      </c>
      <c r="Z257" s="135">
        <f t="shared" si="159"/>
        <v>-1.4006488340545169</v>
      </c>
      <c r="AA257" s="135">
        <f t="shared" si="160"/>
        <v>-80.251266771243436</v>
      </c>
      <c r="AB257" s="135"/>
      <c r="AC257" s="135">
        <f t="shared" si="161"/>
        <v>2.2934011576641786E-3</v>
      </c>
      <c r="AD257" s="135">
        <f t="shared" si="162"/>
        <v>-1.3348576804974402E-2</v>
      </c>
      <c r="AE257" s="135">
        <f t="shared" si="163"/>
        <v>7.5228978880157902E-4</v>
      </c>
      <c r="AF257" s="135">
        <f t="shared" si="164"/>
        <v>7.5228978880157902E-4</v>
      </c>
      <c r="AG257" s="163"/>
      <c r="AH257" s="163"/>
      <c r="AI257" s="163"/>
      <c r="AJ257" s="163"/>
      <c r="AK257" s="163"/>
      <c r="AL257" s="163"/>
      <c r="AM257" s="163"/>
      <c r="AN257" s="163"/>
      <c r="AO257" s="163"/>
      <c r="AP257" s="163"/>
      <c r="AQ257" s="163"/>
      <c r="AR257" s="163"/>
      <c r="AS257" s="163"/>
      <c r="AT257" s="163"/>
      <c r="AU257" s="163"/>
      <c r="AV257" s="163"/>
    </row>
    <row r="258" spans="2:48" s="141" customFormat="1">
      <c r="B258" s="163"/>
      <c r="C258" s="319">
        <f t="shared" si="166"/>
        <v>17378.008287493791</v>
      </c>
      <c r="D258" s="319">
        <f t="shared" si="166"/>
        <v>109189.24634002607</v>
      </c>
      <c r="E258" s="319" t="str">
        <f t="shared" si="166"/>
        <v>109189.246340026i</v>
      </c>
      <c r="F258" s="153"/>
      <c r="G258" s="320">
        <f t="shared" si="147"/>
        <v>-1.9485980953127414E-2</v>
      </c>
      <c r="H258" s="153">
        <f t="shared" si="148"/>
        <v>1.0918924634002608E-4</v>
      </c>
      <c r="I258" s="320">
        <f t="shared" si="149"/>
        <v>-1.9376791706787386E-2</v>
      </c>
      <c r="J258" s="153"/>
      <c r="K258" s="153" t="str">
        <f t="shared" si="150"/>
        <v>0.006-0.0193767917067874i</v>
      </c>
      <c r="L258" s="153"/>
      <c r="M258" s="153">
        <f t="shared" si="151"/>
        <v>-3.1227533578729826E-2</v>
      </c>
      <c r="N258" s="153">
        <f t="shared" si="152"/>
        <v>9.0991038616688386E-6</v>
      </c>
      <c r="O258" s="153">
        <f t="shared" si="153"/>
        <v>-3.1218434474868158E-2</v>
      </c>
      <c r="P258" s="153"/>
      <c r="Q258" s="153" t="str">
        <f t="shared" si="154"/>
        <v>0.00025-0.0312184344748682i</v>
      </c>
      <c r="R258" s="153"/>
      <c r="S258" s="153" t="str">
        <f t="shared" si="155"/>
        <v>-0.000603413102231512-0.000192154804775906i</v>
      </c>
      <c r="T258" s="153" t="str">
        <f t="shared" si="156"/>
        <v>0.00625-0.0505952261816556i</v>
      </c>
      <c r="U258" s="153" t="str">
        <f t="shared" si="157"/>
        <v>0.00228969705574964-0.0122091302964452i</v>
      </c>
      <c r="V258" s="321"/>
      <c r="W258" s="135"/>
      <c r="X258" s="135"/>
      <c r="Y258" s="135">
        <f t="shared" si="158"/>
        <v>1.2421979520297265E-2</v>
      </c>
      <c r="Z258" s="135">
        <f t="shared" si="159"/>
        <v>-1.3854099919320924</v>
      </c>
      <c r="AA258" s="135">
        <f t="shared" si="160"/>
        <v>-79.378145432962327</v>
      </c>
      <c r="AB258" s="135"/>
      <c r="AC258" s="135">
        <f t="shared" si="161"/>
        <v>2.2896970557496413E-3</v>
      </c>
      <c r="AD258" s="135">
        <f t="shared" si="162"/>
        <v>-1.2209130296445202E-2</v>
      </c>
      <c r="AE258" s="135">
        <f t="shared" si="163"/>
        <v>7.501280456181582E-4</v>
      </c>
      <c r="AF258" s="135">
        <f t="shared" si="164"/>
        <v>7.501280456181582E-4</v>
      </c>
    </row>
    <row r="259" spans="2:48" s="141" customFormat="1">
      <c r="B259" s="163"/>
      <c r="C259" s="319">
        <f t="shared" si="166"/>
        <v>19054.607179632505</v>
      </c>
      <c r="D259" s="319">
        <f t="shared" si="166"/>
        <v>119723.62786514561</v>
      </c>
      <c r="E259" s="319" t="str">
        <f t="shared" si="166"/>
        <v>119723.627865146i</v>
      </c>
      <c r="F259" s="153"/>
      <c r="G259" s="320">
        <f t="shared" si="147"/>
        <v>-1.7771425844735008E-2</v>
      </c>
      <c r="H259" s="153">
        <f t="shared" si="148"/>
        <v>1.1972362786514562E-4</v>
      </c>
      <c r="I259" s="320">
        <f t="shared" si="149"/>
        <v>-1.7651702216869864E-2</v>
      </c>
      <c r="J259" s="153"/>
      <c r="K259" s="153" t="str">
        <f t="shared" si="150"/>
        <v>0.006-0.0176517022168699i</v>
      </c>
      <c r="L259" s="153"/>
      <c r="M259" s="153">
        <f t="shared" si="151"/>
        <v>-2.847984911015225E-2</v>
      </c>
      <c r="N259" s="153">
        <f t="shared" si="152"/>
        <v>9.9769689887621341E-6</v>
      </c>
      <c r="O259" s="153">
        <f t="shared" si="153"/>
        <v>-2.8469872141163487E-2</v>
      </c>
      <c r="P259" s="153"/>
      <c r="Q259" s="153" t="str">
        <f t="shared" si="154"/>
        <v>0.00025-0.0284698721411635i</v>
      </c>
      <c r="R259" s="153"/>
      <c r="S259" s="153" t="str">
        <f t="shared" si="155"/>
        <v>-0.000501041705188178-0.000175232158401198i</v>
      </c>
      <c r="T259" s="153" t="str">
        <f t="shared" si="156"/>
        <v>0.00625-0.0461215743580334i</v>
      </c>
      <c r="U259" s="153" t="str">
        <f t="shared" si="157"/>
        <v>0.00228526008814933-0.0111731784509076i</v>
      </c>
      <c r="V259" s="321"/>
      <c r="W259" s="135"/>
      <c r="X259" s="135"/>
      <c r="Y259" s="135">
        <f t="shared" si="158"/>
        <v>1.1404487290812958E-2</v>
      </c>
      <c r="Z259" s="135">
        <f t="shared" si="159"/>
        <v>-1.3690479659941126</v>
      </c>
      <c r="AA259" s="135">
        <f t="shared" si="160"/>
        <v>-78.440670402432502</v>
      </c>
      <c r="AB259" s="135"/>
      <c r="AC259" s="135">
        <f t="shared" si="161"/>
        <v>2.2852600881493306E-3</v>
      </c>
      <c r="AD259" s="135">
        <f t="shared" si="162"/>
        <v>-1.1173178450907602E-2</v>
      </c>
      <c r="AE259" s="135">
        <f t="shared" si="163"/>
        <v>7.4755542334929519E-4</v>
      </c>
      <c r="AF259" s="135">
        <f t="shared" si="164"/>
        <v>7.4755542334929519E-4</v>
      </c>
    </row>
    <row r="260" spans="2:48" s="141" customFormat="1">
      <c r="B260" s="163"/>
      <c r="C260" s="319">
        <f t="shared" ref="C260:E279" si="167">C110</f>
        <v>20892.961308540423</v>
      </c>
      <c r="D260" s="319">
        <f t="shared" si="167"/>
        <v>131274.34751729277</v>
      </c>
      <c r="E260" s="319" t="str">
        <f t="shared" si="167"/>
        <v>131274.347517293i</v>
      </c>
      <c r="F260" s="153"/>
      <c r="G260" s="320">
        <f t="shared" si="147"/>
        <v>-1.6207733001208088E-2</v>
      </c>
      <c r="H260" s="153">
        <f t="shared" si="148"/>
        <v>1.3127434751729279E-4</v>
      </c>
      <c r="I260" s="320">
        <f t="shared" si="149"/>
        <v>-1.6076458653690794E-2</v>
      </c>
      <c r="J260" s="153"/>
      <c r="K260" s="153" t="str">
        <f t="shared" si="150"/>
        <v>0.006-0.0160764586536908i</v>
      </c>
      <c r="L260" s="153"/>
      <c r="M260" s="153">
        <f t="shared" si="151"/>
        <v>-2.5973931091679624E-2</v>
      </c>
      <c r="N260" s="153">
        <f t="shared" si="152"/>
        <v>1.0939528959774397E-5</v>
      </c>
      <c r="O260" s="153">
        <f t="shared" si="153"/>
        <v>-2.5962991562719851E-2</v>
      </c>
      <c r="P260" s="153"/>
      <c r="Q260" s="153" t="str">
        <f t="shared" si="154"/>
        <v>0.00025-0.0259629915627199i</v>
      </c>
      <c r="R260" s="153"/>
      <c r="S260" s="153" t="str">
        <f t="shared" si="155"/>
        <v>-0.00041589296038419-0.000159797064039742i</v>
      </c>
      <c r="T260" s="153" t="str">
        <f t="shared" si="156"/>
        <v>0.00625-0.0420394502164107i</v>
      </c>
      <c r="U260" s="153" t="str">
        <f t="shared" si="157"/>
        <v>0.00227994915912625-0.0102318807789931i</v>
      </c>
      <c r="V260" s="321"/>
      <c r="W260" s="135"/>
      <c r="X260" s="135"/>
      <c r="Y260" s="135">
        <f t="shared" si="158"/>
        <v>1.0482821778687689E-2</v>
      </c>
      <c r="Z260" s="135">
        <f t="shared" si="159"/>
        <v>-1.3515502189938431</v>
      </c>
      <c r="AA260" s="135">
        <f t="shared" si="160"/>
        <v>-77.438123348329356</v>
      </c>
      <c r="AB260" s="135"/>
      <c r="AC260" s="135">
        <f t="shared" si="161"/>
        <v>2.2799491591262489E-3</v>
      </c>
      <c r="AD260" s="135">
        <f t="shared" si="162"/>
        <v>-1.02318807789931E-2</v>
      </c>
      <c r="AE260" s="135">
        <f t="shared" si="163"/>
        <v>7.4449992871373539E-4</v>
      </c>
      <c r="AF260" s="135">
        <f t="shared" si="164"/>
        <v>7.4449992871373539E-4</v>
      </c>
    </row>
    <row r="261" spans="2:48" s="141" customFormat="1">
      <c r="B261" s="163"/>
      <c r="C261" s="319">
        <f t="shared" si="167"/>
        <v>22908.676527677751</v>
      </c>
      <c r="D261" s="319">
        <f t="shared" si="167"/>
        <v>143939.4597656347</v>
      </c>
      <c r="E261" s="319" t="str">
        <f t="shared" si="167"/>
        <v>143939.459765635i</v>
      </c>
      <c r="F261" s="153"/>
      <c r="G261" s="320">
        <f t="shared" si="147"/>
        <v>-1.4781628178488274E-2</v>
      </c>
      <c r="H261" s="153">
        <f t="shared" si="148"/>
        <v>1.4393945976563471E-4</v>
      </c>
      <c r="I261" s="320">
        <f t="shared" si="149"/>
        <v>-1.463768871872264E-2</v>
      </c>
      <c r="J261" s="153"/>
      <c r="K261" s="153" t="str">
        <f t="shared" si="150"/>
        <v>0.006-0.0146376887187226i</v>
      </c>
      <c r="L261" s="153"/>
      <c r="M261" s="153">
        <f t="shared" si="151"/>
        <v>-2.3688506696295308E-2</v>
      </c>
      <c r="N261" s="153">
        <f t="shared" si="152"/>
        <v>1.1994954980469558E-5</v>
      </c>
      <c r="O261" s="153">
        <f t="shared" si="153"/>
        <v>-2.3676511741314837E-2</v>
      </c>
      <c r="P261" s="153"/>
      <c r="Q261" s="153" t="str">
        <f t="shared" si="154"/>
        <v>0.00025-0.0236765117413148i</v>
      </c>
      <c r="R261" s="153"/>
      <c r="S261" s="153" t="str">
        <f t="shared" si="155"/>
        <v>-0.000345069408814547-0.000145718492627569i</v>
      </c>
      <c r="T261" s="153" t="str">
        <f t="shared" si="156"/>
        <v>0.00625-0.0383142004600374i</v>
      </c>
      <c r="U261" s="153" t="str">
        <f t="shared" si="157"/>
        <v>0.00227359771033801-0.00937718627011143i</v>
      </c>
      <c r="V261" s="321"/>
      <c r="W261" s="135"/>
      <c r="X261" s="135"/>
      <c r="Y261" s="135">
        <f t="shared" si="158"/>
        <v>9.6488791521513306E-3</v>
      </c>
      <c r="Z261" s="135">
        <f t="shared" si="159"/>
        <v>-1.3329261104232031</v>
      </c>
      <c r="AA261" s="135">
        <f t="shared" si="160"/>
        <v>-76.371040530038258</v>
      </c>
      <c r="AB261" s="135"/>
      <c r="AC261" s="135">
        <f t="shared" si="161"/>
        <v>2.2735977103380107E-3</v>
      </c>
      <c r="AD261" s="135">
        <f t="shared" si="162"/>
        <v>-9.3771862701114306E-3</v>
      </c>
      <c r="AE261" s="135">
        <f t="shared" si="163"/>
        <v>7.4087951798860151E-4</v>
      </c>
      <c r="AF261" s="135">
        <f t="shared" si="164"/>
        <v>7.4087951798860151E-4</v>
      </c>
    </row>
    <row r="262" spans="2:48" s="141" customFormat="1">
      <c r="B262" s="163"/>
      <c r="C262" s="319">
        <f t="shared" si="167"/>
        <v>25118.86431509586</v>
      </c>
      <c r="D262" s="319">
        <f t="shared" si="167"/>
        <v>157826.47919764792</v>
      </c>
      <c r="E262" s="319" t="str">
        <f t="shared" si="167"/>
        <v>157826.479197648i</v>
      </c>
      <c r="F262" s="153"/>
      <c r="G262" s="320">
        <f t="shared" si="147"/>
        <v>-1.3481005122110038E-2</v>
      </c>
      <c r="H262" s="153">
        <f t="shared" si="148"/>
        <v>1.5782647919764791E-4</v>
      </c>
      <c r="I262" s="320">
        <f t="shared" si="149"/>
        <v>-1.332317864291239E-2</v>
      </c>
      <c r="J262" s="153"/>
      <c r="K262" s="153" t="str">
        <f t="shared" si="150"/>
        <v>0.006-0.0133231786429124i</v>
      </c>
      <c r="L262" s="153"/>
      <c r="M262" s="153">
        <f t="shared" si="151"/>
        <v>-2.1604174875176341E-2</v>
      </c>
      <c r="N262" s="153">
        <f t="shared" si="152"/>
        <v>1.3152206599803992E-5</v>
      </c>
      <c r="O262" s="153">
        <f t="shared" si="153"/>
        <v>-2.1591022668576536E-2</v>
      </c>
      <c r="P262" s="153"/>
      <c r="Q262" s="153" t="str">
        <f t="shared" si="154"/>
        <v>0.00025-0.0215910226685765i</v>
      </c>
      <c r="R262" s="153"/>
      <c r="S262" s="153" t="str">
        <f t="shared" si="155"/>
        <v>-0.000286161052096616-0.000132876930672187i</v>
      </c>
      <c r="T262" s="153" t="str">
        <f t="shared" si="156"/>
        <v>0.00625-0.0349142013114889i</v>
      </c>
      <c r="U262" s="153" t="str">
        <f t="shared" si="157"/>
        <v>0.00226600986717962-0.00860176095930523i</v>
      </c>
      <c r="V262" s="321"/>
      <c r="W262" s="135"/>
      <c r="X262" s="135"/>
      <c r="Y262" s="135">
        <f t="shared" si="158"/>
        <v>8.8952286265830752E-3</v>
      </c>
      <c r="Z262" s="135">
        <f t="shared" si="159"/>
        <v>-1.3132129313018304</v>
      </c>
      <c r="AA262" s="135">
        <f t="shared" si="160"/>
        <v>-75.241558565598197</v>
      </c>
      <c r="AB262" s="135"/>
      <c r="AC262" s="135">
        <f t="shared" si="161"/>
        <v>2.26600986717962E-3</v>
      </c>
      <c r="AD262" s="135">
        <f t="shared" si="162"/>
        <v>-8.601760959305229E-3</v>
      </c>
      <c r="AE262" s="135">
        <f t="shared" si="163"/>
        <v>7.36601776934695E-4</v>
      </c>
      <c r="AF262" s="135">
        <f t="shared" si="164"/>
        <v>7.36601776934695E-4</v>
      </c>
    </row>
    <row r="263" spans="2:48" s="141" customFormat="1">
      <c r="B263" s="163"/>
      <c r="C263" s="319">
        <f t="shared" si="167"/>
        <v>27542.287033381719</v>
      </c>
      <c r="D263" s="319">
        <f t="shared" si="167"/>
        <v>173053.29321426686</v>
      </c>
      <c r="E263" s="319" t="str">
        <f t="shared" si="167"/>
        <v>173053.293214267i</v>
      </c>
      <c r="F263" s="153"/>
      <c r="G263" s="320">
        <f t="shared" si="147"/>
        <v>-1.2294822796776898E-2</v>
      </c>
      <c r="H263" s="153">
        <f t="shared" si="148"/>
        <v>1.7305329321426686E-4</v>
      </c>
      <c r="I263" s="320">
        <f t="shared" si="149"/>
        <v>-1.2121769503562632E-2</v>
      </c>
      <c r="J263" s="153"/>
      <c r="K263" s="153" t="str">
        <f t="shared" si="150"/>
        <v>0.006-0.0121217695035626i</v>
      </c>
      <c r="L263" s="153"/>
      <c r="M263" s="153">
        <f t="shared" si="151"/>
        <v>-1.9703241661501437E-2</v>
      </c>
      <c r="N263" s="153">
        <f t="shared" si="152"/>
        <v>1.4421107767855571E-5</v>
      </c>
      <c r="O263" s="153">
        <f t="shared" si="153"/>
        <v>-1.9688820553733583E-2</v>
      </c>
      <c r="P263" s="153"/>
      <c r="Q263" s="153" t="str">
        <f t="shared" si="154"/>
        <v>0.00025-0.0196888205537336i</v>
      </c>
      <c r="R263" s="153"/>
      <c r="S263" s="153" t="str">
        <f t="shared" si="155"/>
        <v>-0.000237163344549364-0.000121163365698292i</v>
      </c>
      <c r="T263" s="153" t="str">
        <f t="shared" si="156"/>
        <v>0.00625-0.0318105900572962i</v>
      </c>
      <c r="U263" s="153" t="str">
        <f t="shared" si="157"/>
        <v>0.00225695633130501-0.00789892049054866i</v>
      </c>
      <c r="V263" s="321"/>
      <c r="W263" s="135"/>
      <c r="X263" s="135"/>
      <c r="Y263" s="135">
        <f t="shared" si="158"/>
        <v>8.2150348019608063E-3</v>
      </c>
      <c r="Z263" s="135">
        <f t="shared" si="159"/>
        <v>-1.2924823994395063</v>
      </c>
      <c r="AA263" s="135">
        <f t="shared" si="160"/>
        <v>-74.053786582825552</v>
      </c>
      <c r="AB263" s="135"/>
      <c r="AC263" s="135">
        <f t="shared" si="161"/>
        <v>2.25695633130501E-3</v>
      </c>
      <c r="AD263" s="135">
        <f t="shared" si="162"/>
        <v>-7.8989204905486592E-3</v>
      </c>
      <c r="AE263" s="135">
        <f t="shared" si="163"/>
        <v>7.3156410694339856E-4</v>
      </c>
      <c r="AF263" s="135">
        <f t="shared" si="164"/>
        <v>7.3156410694339856E-4</v>
      </c>
    </row>
    <row r="264" spans="2:48" s="141" customFormat="1">
      <c r="B264" s="163"/>
      <c r="C264" s="319">
        <f t="shared" si="167"/>
        <v>30199.517204020212</v>
      </c>
      <c r="D264" s="319">
        <f t="shared" si="167"/>
        <v>189749.16278021692</v>
      </c>
      <c r="E264" s="319" t="str">
        <f t="shared" si="167"/>
        <v>189749.162780217i</v>
      </c>
      <c r="F264" s="153"/>
      <c r="G264" s="320">
        <f t="shared" si="147"/>
        <v>-1.1213011658620677E-2</v>
      </c>
      <c r="H264" s="153">
        <f t="shared" si="148"/>
        <v>1.8974916278021695E-4</v>
      </c>
      <c r="I264" s="320">
        <f t="shared" si="149"/>
        <v>-1.102326249584046E-2</v>
      </c>
      <c r="J264" s="153"/>
      <c r="K264" s="153" t="str">
        <f t="shared" si="150"/>
        <v>0.006-0.0110232624958405i</v>
      </c>
      <c r="L264" s="153"/>
      <c r="M264" s="153">
        <f t="shared" si="151"/>
        <v>-1.7969569965738261E-2</v>
      </c>
      <c r="N264" s="153">
        <f t="shared" si="152"/>
        <v>1.5812430231684744E-5</v>
      </c>
      <c r="O264" s="153">
        <f t="shared" si="153"/>
        <v>-1.7953757535506577E-2</v>
      </c>
      <c r="P264" s="153"/>
      <c r="Q264" s="153" t="str">
        <f t="shared" si="154"/>
        <v>0.00025-0.0179537575355066i</v>
      </c>
      <c r="R264" s="153"/>
      <c r="S264" s="153" t="str">
        <f t="shared" si="155"/>
        <v>-0.000196408982100564-0.000110478360837i</v>
      </c>
      <c r="T264" s="153" t="str">
        <f t="shared" si="156"/>
        <v>0.00625-0.0289770200313471i</v>
      </c>
      <c r="U264" s="153" t="str">
        <f t="shared" si="157"/>
        <v>0.00224617016641566-0.00726256686895345i</v>
      </c>
      <c r="V264" s="321"/>
      <c r="W264" s="135"/>
      <c r="X264" s="135"/>
      <c r="Y264" s="135">
        <f t="shared" si="158"/>
        <v>7.6019838162492866E-3</v>
      </c>
      <c r="Z264" s="135">
        <f t="shared" si="159"/>
        <v>-1.27084722682997</v>
      </c>
      <c r="AA264" s="135">
        <f t="shared" si="160"/>
        <v>-72.814182503262074</v>
      </c>
      <c r="AB264" s="135"/>
      <c r="AC264" s="135">
        <f t="shared" si="161"/>
        <v>2.2461701664156595E-3</v>
      </c>
      <c r="AD264" s="135">
        <f t="shared" si="162"/>
        <v>-7.2625668689534498E-3</v>
      </c>
      <c r="AE264" s="135">
        <f t="shared" si="163"/>
        <v>7.2565465828353223E-4</v>
      </c>
      <c r="AF264" s="135">
        <f t="shared" si="164"/>
        <v>7.2565465828353223E-4</v>
      </c>
    </row>
    <row r="265" spans="2:48" s="141" customFormat="1">
      <c r="B265" s="163"/>
      <c r="C265" s="319">
        <f t="shared" si="167"/>
        <v>33113.112148259148</v>
      </c>
      <c r="D265" s="319">
        <f t="shared" si="167"/>
        <v>208055.81972493173</v>
      </c>
      <c r="E265" s="319" t="str">
        <f t="shared" si="167"/>
        <v>208055.819724932i</v>
      </c>
      <c r="F265" s="153"/>
      <c r="G265" s="320">
        <f t="shared" ref="G265:G327" si="168">-1/(D265*C$189)</f>
        <v>-1.0226388174486251E-2</v>
      </c>
      <c r="H265" s="153">
        <f t="shared" ref="H265:H327" si="169">D265*C$191</f>
        <v>2.0805581972493174E-4</v>
      </c>
      <c r="I265" s="320">
        <f t="shared" ref="I265:I327" si="170">H265+G265</f>
        <v>-1.0018332354761319E-2</v>
      </c>
      <c r="J265" s="153"/>
      <c r="K265" s="153" t="str">
        <f t="shared" ref="K265:K327" si="171">COMPLEX(C$190,I265)</f>
        <v>0.006-0.0100183323547613i</v>
      </c>
      <c r="L265" s="153"/>
      <c r="M265" s="153">
        <f t="shared" ref="M265:M327" si="172">-1/(D265*C$193)</f>
        <v>-1.6388442587317708E-2</v>
      </c>
      <c r="N265" s="153">
        <f t="shared" ref="N265:N327" si="173">D265*C$195</f>
        <v>1.7337984977077643E-5</v>
      </c>
      <c r="O265" s="153">
        <f t="shared" ref="O265:O327" si="174">N265+M265</f>
        <v>-1.637110460234063E-2</v>
      </c>
      <c r="P265" s="153"/>
      <c r="Q265" s="153" t="str">
        <f t="shared" ref="Q265:Q327" si="175">COMPLEX(C$194,O265)</f>
        <v>0.00025-0.0163711046023406i</v>
      </c>
      <c r="R265" s="153"/>
      <c r="S265" s="153" t="str">
        <f t="shared" ref="S265:S327" si="176">IMPRODUCT(Q265,K265)</f>
        <v>-0.00016251116692081-0.000100731210702734i</v>
      </c>
      <c r="T265" s="153" t="str">
        <f t="shared" ref="T265:T327" si="177">IMSUM(Q265,K265)</f>
        <v>0.00625-0.0263894369571019i</v>
      </c>
      <c r="U265" s="153" t="str">
        <f t="shared" ref="U265:U327" si="178">IMDIV(S265,T265)</f>
        <v>0.00223334271881464-0.00668712861135562i</v>
      </c>
      <c r="V265" s="321"/>
      <c r="W265" s="135"/>
      <c r="X265" s="135"/>
      <c r="Y265" s="135">
        <f t="shared" ref="Y265:Y327" si="179">IMABS(U265)</f>
        <v>7.0502133843234364E-3</v>
      </c>
      <c r="Z265" s="135">
        <f t="shared" ref="Z265:Z327" si="180">IMARGUMENT(U265)</f>
        <v>-1.2484671807541243</v>
      </c>
      <c r="AA265" s="135">
        <f t="shared" ref="AA265:AA328" si="181">Z265*180/PI()</f>
        <v>-71.531900317807811</v>
      </c>
      <c r="AB265" s="135"/>
      <c r="AC265" s="135">
        <f t="shared" ref="AC265:AC327" si="182">Y265*COS(Z265)</f>
        <v>2.2333427188146399E-3</v>
      </c>
      <c r="AD265" s="135">
        <f t="shared" ref="AD265:AD327" si="183">Y265*SIN(Z265)</f>
        <v>-6.6871286113556203E-3</v>
      </c>
      <c r="AE265" s="135">
        <f t="shared" ref="AE265:AE328" si="184">-1/(AD265*D265)</f>
        <v>7.1875429969249244E-4</v>
      </c>
      <c r="AF265" s="135">
        <f t="shared" ref="AF265:AF328" si="185">ABS(AE265)</f>
        <v>7.1875429969249244E-4</v>
      </c>
    </row>
    <row r="266" spans="2:48" s="141" customFormat="1">
      <c r="B266" s="163"/>
      <c r="C266" s="319">
        <f t="shared" si="167"/>
        <v>36307.805477010232</v>
      </c>
      <c r="D266" s="319">
        <f t="shared" si="167"/>
        <v>228128.66990908521</v>
      </c>
      <c r="E266" s="319" t="str">
        <f t="shared" si="167"/>
        <v>228128.669909085i</v>
      </c>
      <c r="F266" s="153"/>
      <c r="G266" s="320">
        <f t="shared" si="168"/>
        <v>-9.3265768625925404E-3</v>
      </c>
      <c r="H266" s="153">
        <f t="shared" si="169"/>
        <v>2.2812866990908523E-4</v>
      </c>
      <c r="I266" s="320">
        <f t="shared" si="170"/>
        <v>-9.0984481926834546E-3</v>
      </c>
      <c r="J266" s="153"/>
      <c r="K266" s="153" t="str">
        <f t="shared" si="171"/>
        <v>0.006-0.00909844819268345i</v>
      </c>
      <c r="L266" s="153"/>
      <c r="M266" s="153">
        <f t="shared" si="172"/>
        <v>-1.4946437279795733E-2</v>
      </c>
      <c r="N266" s="153">
        <f t="shared" si="173"/>
        <v>1.9010722492423767E-5</v>
      </c>
      <c r="O266" s="153">
        <f t="shared" si="174"/>
        <v>-1.492742655730331E-2</v>
      </c>
      <c r="P266" s="153"/>
      <c r="Q266" s="153" t="str">
        <f t="shared" si="175"/>
        <v>0.00025-0.0149274265573033i</v>
      </c>
      <c r="R266" s="153"/>
      <c r="S266" s="153" t="str">
        <f t="shared" si="176"/>
        <v>-0.000134316417181711-0.0000918391713919907i</v>
      </c>
      <c r="T266" s="153" t="str">
        <f t="shared" si="177"/>
        <v>0.00625-0.0240258747499867i</v>
      </c>
      <c r="U266" s="153" t="str">
        <f t="shared" si="178"/>
        <v>0.0022181200416391-0.0061675035345815i</v>
      </c>
      <c r="V266" s="321"/>
      <c r="W266" s="135"/>
      <c r="X266" s="135"/>
      <c r="Y266" s="135">
        <f t="shared" si="179"/>
        <v>6.554247200723843E-3</v>
      </c>
      <c r="Z266" s="135">
        <f t="shared" si="180"/>
        <v>-1.2255538702963051</v>
      </c>
      <c r="AA266" s="135">
        <f t="shared" si="181"/>
        <v>-70.219064333901784</v>
      </c>
      <c r="AB266" s="135"/>
      <c r="AC266" s="135">
        <f t="shared" si="182"/>
        <v>2.2181200416390989E-3</v>
      </c>
      <c r="AD266" s="135">
        <f t="shared" si="183"/>
        <v>-6.1675035345815001E-3</v>
      </c>
      <c r="AE266" s="135">
        <f t="shared" si="184"/>
        <v>7.1073994539930794E-4</v>
      </c>
      <c r="AF266" s="135">
        <f t="shared" si="185"/>
        <v>7.1073994539930794E-4</v>
      </c>
    </row>
    <row r="267" spans="2:48" s="141" customFormat="1">
      <c r="B267" s="163"/>
      <c r="C267" s="319">
        <f t="shared" si="167"/>
        <v>39810.717055349814</v>
      </c>
      <c r="D267" s="319">
        <f t="shared" si="167"/>
        <v>250138.11247045771</v>
      </c>
      <c r="E267" s="319" t="str">
        <f t="shared" si="167"/>
        <v>250138.112470458i</v>
      </c>
      <c r="F267" s="153"/>
      <c r="G267" s="320">
        <f t="shared" si="168"/>
        <v>-8.5059391927704339E-3</v>
      </c>
      <c r="H267" s="153">
        <f t="shared" si="169"/>
        <v>2.5013811247045771E-4</v>
      </c>
      <c r="I267" s="320">
        <f t="shared" si="170"/>
        <v>-8.2558010802999768E-3</v>
      </c>
      <c r="J267" s="153"/>
      <c r="K267" s="153" t="str">
        <f t="shared" si="171"/>
        <v>0.006-0.00825580108029998i</v>
      </c>
      <c r="L267" s="153"/>
      <c r="M267" s="153">
        <f t="shared" si="172"/>
        <v>-1.3631312808926975E-2</v>
      </c>
      <c r="N267" s="153">
        <f t="shared" si="173"/>
        <v>2.0844842705871473E-5</v>
      </c>
      <c r="O267" s="153">
        <f t="shared" si="174"/>
        <v>-1.3610467966221104E-2</v>
      </c>
      <c r="P267" s="153"/>
      <c r="Q267" s="153" t="str">
        <f t="shared" si="175"/>
        <v>0.00025-0.0136104679662211i</v>
      </c>
      <c r="R267" s="153"/>
      <c r="S267" s="153" t="str">
        <f t="shared" si="176"/>
        <v>-0.000110865316138916-0.0000837267580674016i</v>
      </c>
      <c r="T267" s="153" t="str">
        <f t="shared" si="177"/>
        <v>0.00625-0.0218662690465211i</v>
      </c>
      <c r="U267" s="153" t="str">
        <f t="shared" si="178"/>
        <v>0.00220010035648307-0.00569900347891134i</v>
      </c>
      <c r="V267" s="321"/>
      <c r="W267" s="135"/>
      <c r="X267" s="135"/>
      <c r="Y267" s="135">
        <f t="shared" si="179"/>
        <v>6.1089346232580111E-3</v>
      </c>
      <c r="Z267" s="135">
        <f t="shared" si="180"/>
        <v>-1.2023733420941149</v>
      </c>
      <c r="AA267" s="135">
        <f t="shared" si="181"/>
        <v>-68.89091790103231</v>
      </c>
      <c r="AB267" s="135"/>
      <c r="AC267" s="135">
        <f t="shared" si="182"/>
        <v>2.20010035648307E-3</v>
      </c>
      <c r="AD267" s="135">
        <f t="shared" si="183"/>
        <v>-5.6990034789113405E-3</v>
      </c>
      <c r="AE267" s="135">
        <f t="shared" si="184"/>
        <v>7.0148955609442573E-4</v>
      </c>
      <c r="AF267" s="135">
        <f t="shared" si="185"/>
        <v>7.0148955609442573E-4</v>
      </c>
    </row>
    <row r="268" spans="2:48" s="141" customFormat="1">
      <c r="B268" s="163"/>
      <c r="C268" s="319">
        <f t="shared" si="167"/>
        <v>43651.583224016678</v>
      </c>
      <c r="D268" s="319">
        <f t="shared" si="167"/>
        <v>274270.98634826852</v>
      </c>
      <c r="E268" s="319" t="str">
        <f t="shared" si="167"/>
        <v>274270.986348269i</v>
      </c>
      <c r="F268" s="153"/>
      <c r="G268" s="320">
        <f t="shared" si="168"/>
        <v>-7.7575087427088959E-3</v>
      </c>
      <c r="H268" s="153">
        <f t="shared" si="169"/>
        <v>2.7427098634826854E-4</v>
      </c>
      <c r="I268" s="320">
        <f t="shared" si="170"/>
        <v>-7.4832377563606271E-3</v>
      </c>
      <c r="J268" s="153"/>
      <c r="K268" s="153" t="str">
        <f t="shared" si="171"/>
        <v>0.006-0.00748323775636063i</v>
      </c>
      <c r="L268" s="153"/>
      <c r="M268" s="153">
        <f t="shared" si="172"/>
        <v>-1.243190503639246E-2</v>
      </c>
      <c r="N268" s="153">
        <f t="shared" si="173"/>
        <v>2.2855915529022376E-5</v>
      </c>
      <c r="O268" s="153">
        <f t="shared" si="174"/>
        <v>-1.2409049120863437E-2</v>
      </c>
      <c r="P268" s="153"/>
      <c r="Q268" s="153" t="str">
        <f t="shared" si="175"/>
        <v>0.00025-0.0124090491208634i</v>
      </c>
      <c r="R268" s="153"/>
      <c r="S268" s="153" t="str">
        <f t="shared" si="176"/>
        <v>-0.0000913598649017787-0.0000763251041642706i</v>
      </c>
      <c r="T268" s="153" t="str">
        <f t="shared" si="177"/>
        <v>0.00625-0.019892286877224i</v>
      </c>
      <c r="U268" s="153" t="str">
        <f t="shared" si="178"/>
        <v>0.00217883328855449-0.00527730037291188i</v>
      </c>
      <c r="V268" s="321"/>
      <c r="W268" s="135"/>
      <c r="X268" s="135"/>
      <c r="Y268" s="135">
        <f t="shared" si="179"/>
        <v>5.7093969668651559E-3</v>
      </c>
      <c r="Z268" s="135">
        <f t="shared" si="180"/>
        <v>-1.1792455172791161</v>
      </c>
      <c r="AA268" s="135">
        <f t="shared" si="181"/>
        <v>-67.565791149814942</v>
      </c>
      <c r="AB268" s="135"/>
      <c r="AC268" s="135">
        <f t="shared" si="182"/>
        <v>2.1788332885544904E-3</v>
      </c>
      <c r="AD268" s="135">
        <f t="shared" si="183"/>
        <v>-5.2773003729118797E-3</v>
      </c>
      <c r="AE268" s="135">
        <f t="shared" si="184"/>
        <v>6.9088906286025843E-4</v>
      </c>
      <c r="AF268" s="135">
        <f t="shared" si="185"/>
        <v>6.9088906286025843E-4</v>
      </c>
    </row>
    <row r="269" spans="2:48" s="141" customFormat="1">
      <c r="B269" s="163"/>
      <c r="C269" s="319">
        <f t="shared" si="167"/>
        <v>47863.00923226399</v>
      </c>
      <c r="D269" s="319">
        <f t="shared" si="167"/>
        <v>300732.156365562</v>
      </c>
      <c r="E269" s="319" t="str">
        <f t="shared" si="167"/>
        <v>300732.156365562i</v>
      </c>
      <c r="F269" s="153"/>
      <c r="G269" s="320">
        <f t="shared" si="168"/>
        <v>-7.074932059748738E-3</v>
      </c>
      <c r="H269" s="153">
        <f t="shared" si="169"/>
        <v>3.00732156365562E-4</v>
      </c>
      <c r="I269" s="320">
        <f t="shared" si="170"/>
        <v>-6.7741999033831763E-3</v>
      </c>
      <c r="J269" s="153"/>
      <c r="K269" s="153" t="str">
        <f t="shared" si="171"/>
        <v>0.006-0.00677419990338318i</v>
      </c>
      <c r="L269" s="153"/>
      <c r="M269" s="153">
        <f t="shared" si="172"/>
        <v>-1.1338032147033232E-2</v>
      </c>
      <c r="N269" s="153">
        <f t="shared" si="173"/>
        <v>2.5061013030463498E-5</v>
      </c>
      <c r="O269" s="153">
        <f t="shared" si="174"/>
        <v>-1.1312971134002769E-2</v>
      </c>
      <c r="P269" s="153"/>
      <c r="Q269" s="153" t="str">
        <f t="shared" si="175"/>
        <v>0.00025-0.0113129711340028i</v>
      </c>
      <c r="R269" s="153"/>
      <c r="S269" s="153" t="str">
        <f t="shared" si="176"/>
        <v>-0.0000751363279629385-0.0000695713767798626i</v>
      </c>
      <c r="T269" s="153" t="str">
        <f t="shared" si="177"/>
        <v>0.00625-0.018087171037386i</v>
      </c>
      <c r="U269" s="153" t="str">
        <f t="shared" si="178"/>
        <v>0.00215382184355575-0.00489837323382586i</v>
      </c>
      <c r="V269" s="321"/>
      <c r="W269" s="135"/>
      <c r="X269" s="135"/>
      <c r="Y269" s="135">
        <f t="shared" si="179"/>
        <v>5.3509820474039625E-3</v>
      </c>
      <c r="Z269" s="135">
        <f t="shared" si="180"/>
        <v>-1.1565396002733603</v>
      </c>
      <c r="AA269" s="135">
        <f t="shared" si="181"/>
        <v>-66.264837935410824</v>
      </c>
      <c r="AB269" s="135"/>
      <c r="AC269" s="135">
        <f t="shared" si="182"/>
        <v>2.1538218435557506E-3</v>
      </c>
      <c r="AD269" s="135">
        <f t="shared" si="183"/>
        <v>-4.8983732338258599E-3</v>
      </c>
      <c r="AE269" s="135">
        <f t="shared" si="184"/>
        <v>6.7884130288797025E-4</v>
      </c>
      <c r="AF269" s="135">
        <f t="shared" si="185"/>
        <v>6.7884130288797025E-4</v>
      </c>
    </row>
    <row r="270" spans="2:48" s="141" customFormat="1">
      <c r="B270" s="163"/>
      <c r="C270" s="319">
        <f t="shared" si="167"/>
        <v>52480.746024977409</v>
      </c>
      <c r="D270" s="319">
        <f t="shared" si="167"/>
        <v>329746.25233396154</v>
      </c>
      <c r="E270" s="319" t="str">
        <f t="shared" si="167"/>
        <v>329746.252333962i</v>
      </c>
      <c r="F270" s="153"/>
      <c r="G270" s="320">
        <f t="shared" si="168"/>
        <v>-6.452414726197485E-3</v>
      </c>
      <c r="H270" s="153">
        <f t="shared" si="169"/>
        <v>3.2974625233396157E-4</v>
      </c>
      <c r="I270" s="320">
        <f t="shared" si="170"/>
        <v>-6.1226684738635235E-3</v>
      </c>
      <c r="J270" s="153"/>
      <c r="K270" s="153" t="str">
        <f t="shared" si="171"/>
        <v>0.006-0.00612266847386352i</v>
      </c>
      <c r="L270" s="153"/>
      <c r="M270" s="153">
        <f t="shared" si="172"/>
        <v>-1.0340408215060071E-2</v>
      </c>
      <c r="N270" s="153">
        <f t="shared" si="173"/>
        <v>2.7478854361163461E-5</v>
      </c>
      <c r="O270" s="153">
        <f t="shared" si="174"/>
        <v>-1.0312929360698908E-2</v>
      </c>
      <c r="P270" s="153"/>
      <c r="Q270" s="153" t="str">
        <f t="shared" si="175"/>
        <v>0.00025-0.0103129293606989i</v>
      </c>
      <c r="R270" s="153"/>
      <c r="S270" s="153" t="str">
        <f t="shared" si="176"/>
        <v>-0.0000616426474699326-0.0000634082432826593i</v>
      </c>
      <c r="T270" s="153" t="str">
        <f t="shared" si="177"/>
        <v>0.00625-0.0164355978345624i</v>
      </c>
      <c r="U270" s="153" t="str">
        <f t="shared" si="178"/>
        <v>0.00212452833393875-0.00455845599966547i</v>
      </c>
      <c r="V270" s="321"/>
      <c r="W270" s="135"/>
      <c r="X270" s="135"/>
      <c r="Y270" s="135">
        <f t="shared" si="179"/>
        <v>5.0292287423216965E-3</v>
      </c>
      <c r="Z270" s="135">
        <f t="shared" si="180"/>
        <v>-1.1346648752066704</v>
      </c>
      <c r="AA270" s="135">
        <f t="shared" si="181"/>
        <v>-65.01150851108045</v>
      </c>
      <c r="AB270" s="135"/>
      <c r="AC270" s="135">
        <f t="shared" si="182"/>
        <v>2.12452833393875E-3</v>
      </c>
      <c r="AD270" s="135">
        <f t="shared" si="183"/>
        <v>-4.5584559996654696E-3</v>
      </c>
      <c r="AE270" s="135">
        <f t="shared" si="184"/>
        <v>6.6527677826337976E-4</v>
      </c>
      <c r="AF270" s="135">
        <f t="shared" si="185"/>
        <v>6.6527677826337976E-4</v>
      </c>
    </row>
    <row r="271" spans="2:48" s="141" customFormat="1">
      <c r="B271" s="163"/>
      <c r="C271" s="319">
        <f t="shared" si="167"/>
        <v>57543.993733715834</v>
      </c>
      <c r="D271" s="319">
        <f t="shared" si="167"/>
        <v>361559.5759441175</v>
      </c>
      <c r="E271" s="319" t="str">
        <f t="shared" si="167"/>
        <v>361559.575944118i</v>
      </c>
      <c r="F271" s="153"/>
      <c r="G271" s="320">
        <f t="shared" si="168"/>
        <v>-5.8846721703118034E-3</v>
      </c>
      <c r="H271" s="153">
        <f t="shared" si="169"/>
        <v>3.6155957594411755E-4</v>
      </c>
      <c r="I271" s="320">
        <f t="shared" si="170"/>
        <v>-5.5231125943676854E-3</v>
      </c>
      <c r="J271" s="153"/>
      <c r="K271" s="153" t="str">
        <f t="shared" si="171"/>
        <v>0.006-0.00552311259436769i</v>
      </c>
      <c r="L271" s="153"/>
      <c r="M271" s="153">
        <f t="shared" si="172"/>
        <v>-9.4305643754996824E-3</v>
      </c>
      <c r="N271" s="153">
        <f t="shared" si="173"/>
        <v>3.012996466200979E-5</v>
      </c>
      <c r="O271" s="153">
        <f t="shared" si="174"/>
        <v>-9.4004344108376721E-3</v>
      </c>
      <c r="P271" s="153"/>
      <c r="Q271" s="153" t="str">
        <f t="shared" si="175"/>
        <v>0.00025-0.00940043441083767i</v>
      </c>
      <c r="R271" s="153"/>
      <c r="S271" s="153" t="str">
        <f t="shared" si="176"/>
        <v>-0.000050419657687025-0.000057783384613618i</v>
      </c>
      <c r="T271" s="153" t="str">
        <f t="shared" si="177"/>
        <v>0.00625-0.0149235470052054i</v>
      </c>
      <c r="U271" s="153" t="str">
        <f t="shared" si="178"/>
        <v>0.00209038566535783-0.00425398654042285i</v>
      </c>
      <c r="V271" s="321"/>
      <c r="W271" s="135"/>
      <c r="X271" s="135"/>
      <c r="Y271" s="135">
        <f t="shared" si="179"/>
        <v>4.7398432163978021E-3</v>
      </c>
      <c r="Z271" s="135">
        <f t="shared" si="180"/>
        <v>-1.1140567727879742</v>
      </c>
      <c r="AA271" s="135">
        <f t="shared" si="181"/>
        <v>-63.830751218715825</v>
      </c>
      <c r="AB271" s="135"/>
      <c r="AC271" s="135">
        <f t="shared" si="182"/>
        <v>2.0903856653578298E-3</v>
      </c>
      <c r="AD271" s="135">
        <f t="shared" si="183"/>
        <v>-4.2539865404228501E-3</v>
      </c>
      <c r="AE271" s="135">
        <f t="shared" si="184"/>
        <v>6.5016564903649758E-4</v>
      </c>
      <c r="AF271" s="135">
        <f t="shared" si="185"/>
        <v>6.5016564903649758E-4</v>
      </c>
    </row>
    <row r="272" spans="2:48" s="141" customFormat="1">
      <c r="B272" s="163"/>
      <c r="C272" s="319">
        <f t="shared" si="167"/>
        <v>63095.734448019459</v>
      </c>
      <c r="D272" s="319">
        <f t="shared" si="167"/>
        <v>396442.19162950077</v>
      </c>
      <c r="E272" s="319" t="str">
        <f t="shared" si="167"/>
        <v>396442.191629501i</v>
      </c>
      <c r="F272" s="153"/>
      <c r="G272" s="320">
        <f t="shared" si="168"/>
        <v>-5.3668848053804322E-3</v>
      </c>
      <c r="H272" s="153">
        <f t="shared" si="169"/>
        <v>3.9644219162950078E-4</v>
      </c>
      <c r="I272" s="320">
        <f t="shared" si="170"/>
        <v>-4.9704426137509314E-3</v>
      </c>
      <c r="J272" s="153"/>
      <c r="K272" s="153" t="str">
        <f t="shared" si="171"/>
        <v>0.006-0.00497044261375093i</v>
      </c>
      <c r="L272" s="153"/>
      <c r="M272" s="153">
        <f t="shared" si="172"/>
        <v>-8.6007769316994095E-3</v>
      </c>
      <c r="N272" s="153">
        <f t="shared" si="173"/>
        <v>3.3036849302458399E-5</v>
      </c>
      <c r="O272" s="153">
        <f t="shared" si="174"/>
        <v>-8.5677400823969511E-3</v>
      </c>
      <c r="P272" s="153"/>
      <c r="Q272" s="153" t="str">
        <f t="shared" si="175"/>
        <v>0.00025-0.00856774008239695i</v>
      </c>
      <c r="R272" s="153"/>
      <c r="S272" s="153" t="str">
        <f t="shared" si="176"/>
        <v>-0.0000410854604090877-0.0000526490511478194i</v>
      </c>
      <c r="T272" s="153" t="str">
        <f t="shared" si="177"/>
        <v>0.00625-0.0135381826961479i</v>
      </c>
      <c r="U272" s="153" t="str">
        <f t="shared" si="178"/>
        <v>0.00205081548847991-0.00398155782219016i</v>
      </c>
      <c r="V272" s="321"/>
      <c r="W272" s="135"/>
      <c r="X272" s="135"/>
      <c r="Y272" s="135">
        <f t="shared" si="179"/>
        <v>4.4786880734465915E-3</v>
      </c>
      <c r="Z272" s="135">
        <f t="shared" si="180"/>
        <v>-1.0951586811963938</v>
      </c>
      <c r="AA272" s="135">
        <f t="shared" si="181"/>
        <v>-62.747970329666593</v>
      </c>
      <c r="AB272" s="135"/>
      <c r="AC272" s="135">
        <f t="shared" si="182"/>
        <v>2.0508154884799103E-3</v>
      </c>
      <c r="AD272" s="135">
        <f t="shared" si="183"/>
        <v>-3.9815578221901599E-3</v>
      </c>
      <c r="AE272" s="135">
        <f t="shared" si="184"/>
        <v>6.3352988231658316E-4</v>
      </c>
      <c r="AF272" s="135">
        <f t="shared" si="185"/>
        <v>6.3352988231658316E-4</v>
      </c>
    </row>
    <row r="273" spans="2:32" s="141" customFormat="1">
      <c r="B273" s="163"/>
      <c r="C273" s="319">
        <f t="shared" si="167"/>
        <v>69183.097091893884</v>
      </c>
      <c r="D273" s="319">
        <f t="shared" si="167"/>
        <v>434690.2191529664</v>
      </c>
      <c r="E273" s="319" t="str">
        <f t="shared" si="167"/>
        <v>434690.219152966i</v>
      </c>
      <c r="F273" s="153"/>
      <c r="G273" s="320">
        <f t="shared" si="168"/>
        <v>-4.8946571160814805E-3</v>
      </c>
      <c r="H273" s="153">
        <f t="shared" si="169"/>
        <v>4.3469021915296645E-4</v>
      </c>
      <c r="I273" s="320">
        <f t="shared" si="170"/>
        <v>-4.4599668969285142E-3</v>
      </c>
      <c r="J273" s="153"/>
      <c r="K273" s="153" t="str">
        <f t="shared" si="171"/>
        <v>0.006-0.00445996689692851i</v>
      </c>
      <c r="L273" s="153"/>
      <c r="M273" s="153">
        <f t="shared" si="172"/>
        <v>-7.844001788592115E-3</v>
      </c>
      <c r="N273" s="153">
        <f t="shared" si="173"/>
        <v>3.6224184929413868E-5</v>
      </c>
      <c r="O273" s="153">
        <f t="shared" si="174"/>
        <v>-7.8077776036627007E-3</v>
      </c>
      <c r="P273" s="153"/>
      <c r="Q273" s="153" t="str">
        <f t="shared" si="175"/>
        <v>0.00025-0.0078077776036627i</v>
      </c>
      <c r="R273" s="153"/>
      <c r="S273" s="153" t="str">
        <f t="shared" si="176"/>
        <v>-0.0000333224296509154-0.0000479616573462083i</v>
      </c>
      <c r="T273" s="153" t="str">
        <f t="shared" si="177"/>
        <v>0.00625-0.0122677445005912i</v>
      </c>
      <c r="U273" s="153" t="str">
        <f t="shared" si="178"/>
        <v>0.0020052546015863-0.00373787299765005i</v>
      </c>
      <c r="V273" s="321"/>
      <c r="W273" s="135"/>
      <c r="X273" s="135"/>
      <c r="Y273" s="135">
        <f t="shared" si="179"/>
        <v>4.2417850680750435E-3</v>
      </c>
      <c r="Z273" s="135">
        <f t="shared" si="180"/>
        <v>-1.0784005818368689</v>
      </c>
      <c r="AA273" s="135">
        <f t="shared" si="181"/>
        <v>-61.787801963704936</v>
      </c>
      <c r="AB273" s="135"/>
      <c r="AC273" s="135">
        <f t="shared" si="182"/>
        <v>2.0052546015863005E-3</v>
      </c>
      <c r="AD273" s="135">
        <f t="shared" si="183"/>
        <v>-3.73787299765005E-3</v>
      </c>
      <c r="AE273" s="135">
        <f t="shared" si="184"/>
        <v>6.1545398840586124E-4</v>
      </c>
      <c r="AF273" s="135">
        <f t="shared" si="185"/>
        <v>6.1545398840586124E-4</v>
      </c>
    </row>
    <row r="274" spans="2:32" s="141" customFormat="1">
      <c r="B274" s="163"/>
      <c r="C274" s="319">
        <f t="shared" si="167"/>
        <v>75857.757502918612</v>
      </c>
      <c r="D274" s="319">
        <f t="shared" si="167"/>
        <v>476628.34737793024</v>
      </c>
      <c r="E274" s="319" t="str">
        <f t="shared" si="167"/>
        <v>476628.34737793i</v>
      </c>
      <c r="F274" s="153"/>
      <c r="G274" s="320">
        <f t="shared" si="168"/>
        <v>-4.4639803447968484E-3</v>
      </c>
      <c r="H274" s="153">
        <f t="shared" si="169"/>
        <v>4.7662834737793029E-4</v>
      </c>
      <c r="I274" s="320">
        <f t="shared" si="170"/>
        <v>-3.9873519974189184E-3</v>
      </c>
      <c r="J274" s="153"/>
      <c r="K274" s="153" t="str">
        <f t="shared" si="171"/>
        <v>0.006-0.00398735199741892i</v>
      </c>
      <c r="L274" s="153"/>
      <c r="M274" s="153">
        <f t="shared" si="172"/>
        <v>-7.1538146551231542E-3</v>
      </c>
      <c r="N274" s="153">
        <f t="shared" si="173"/>
        <v>3.9719028948160855E-5</v>
      </c>
      <c r="O274" s="153">
        <f t="shared" si="174"/>
        <v>-7.1140956261749929E-3</v>
      </c>
      <c r="P274" s="153"/>
      <c r="Q274" s="153" t="str">
        <f t="shared" si="175"/>
        <v>0.00025-0.00711409562617499i</v>
      </c>
      <c r="R274" s="153"/>
      <c r="S274" s="153" t="str">
        <f t="shared" si="176"/>
        <v>-0.0000268664034048581-0.0000436814117564047i</v>
      </c>
      <c r="T274" s="153" t="str">
        <f t="shared" si="177"/>
        <v>0.00625-0.0111014476235939i</v>
      </c>
      <c r="U274" s="153" t="str">
        <f t="shared" si="178"/>
        <v>0.00195319052337803-0.00351970711395577i</v>
      </c>
      <c r="V274" s="321"/>
      <c r="W274" s="135"/>
      <c r="X274" s="135"/>
      <c r="Y274" s="135">
        <f t="shared" si="179"/>
        <v>4.0253312147753252E-3</v>
      </c>
      <c r="Z274" s="135">
        <f t="shared" si="180"/>
        <v>-1.0641760866794348</v>
      </c>
      <c r="AA274" s="135">
        <f t="shared" si="181"/>
        <v>-60.972798425479674</v>
      </c>
      <c r="AB274" s="135"/>
      <c r="AC274" s="135">
        <f t="shared" si="182"/>
        <v>1.9531905233780298E-3</v>
      </c>
      <c r="AD274" s="135">
        <f t="shared" si="183"/>
        <v>-3.5197071139557693E-3</v>
      </c>
      <c r="AE274" s="135">
        <f t="shared" si="184"/>
        <v>5.960924287522647E-4</v>
      </c>
      <c r="AF274" s="135">
        <f t="shared" si="185"/>
        <v>5.960924287522647E-4</v>
      </c>
    </row>
    <row r="275" spans="2:32" s="141" customFormat="1">
      <c r="B275" s="163"/>
      <c r="C275" s="319">
        <f t="shared" si="167"/>
        <v>83176.377110267335</v>
      </c>
      <c r="D275" s="319">
        <f t="shared" si="167"/>
        <v>522612.59056366014</v>
      </c>
      <c r="E275" s="319" t="str">
        <f t="shared" si="167"/>
        <v>522612.59056366i</v>
      </c>
      <c r="F275" s="153"/>
      <c r="G275" s="320">
        <f t="shared" si="168"/>
        <v>-4.0711984611264589E-3</v>
      </c>
      <c r="H275" s="153">
        <f t="shared" si="169"/>
        <v>5.2261259056366014E-4</v>
      </c>
      <c r="I275" s="320">
        <f t="shared" si="170"/>
        <v>-3.5485858705627989E-3</v>
      </c>
      <c r="J275" s="153"/>
      <c r="K275" s="153" t="str">
        <f t="shared" si="171"/>
        <v>0.006-0.0035485858705628i</v>
      </c>
      <c r="L275" s="153"/>
      <c r="M275" s="153">
        <f t="shared" si="172"/>
        <v>-6.5243565082154778E-3</v>
      </c>
      <c r="N275" s="153">
        <f t="shared" si="173"/>
        <v>4.3551049213638343E-5</v>
      </c>
      <c r="O275" s="153">
        <f t="shared" si="174"/>
        <v>-6.4808054590018392E-3</v>
      </c>
      <c r="P275" s="153"/>
      <c r="Q275" s="153" t="str">
        <f t="shared" si="175"/>
        <v>0.00025-0.00648080545900184i</v>
      </c>
      <c r="R275" s="153"/>
      <c r="S275" s="153" t="str">
        <f t="shared" si="176"/>
        <v>-0.0000214976946816802-0.0000397719792216517i</v>
      </c>
      <c r="T275" s="153" t="str">
        <f t="shared" si="177"/>
        <v>0.00625-0.0100293913295646i</v>
      </c>
      <c r="U275" s="153" t="str">
        <f t="shared" si="178"/>
        <v>0.001894206207397-0.00332387902540429i</v>
      </c>
      <c r="V275" s="321"/>
      <c r="W275" s="135"/>
      <c r="X275" s="135"/>
      <c r="Y275" s="135">
        <f t="shared" si="179"/>
        <v>3.8257272421938155E-3</v>
      </c>
      <c r="Z275" s="135">
        <f t="shared" si="180"/>
        <v>-1.0528197320371715</v>
      </c>
      <c r="AA275" s="135">
        <f t="shared" si="181"/>
        <v>-60.322127233824197</v>
      </c>
      <c r="AB275" s="135"/>
      <c r="AC275" s="135">
        <f t="shared" si="182"/>
        <v>1.8942062073969998E-3</v>
      </c>
      <c r="AD275" s="135">
        <f t="shared" si="183"/>
        <v>-3.3238790254042899E-3</v>
      </c>
      <c r="AE275" s="135">
        <f t="shared" si="184"/>
        <v>5.7567175643424547E-4</v>
      </c>
      <c r="AF275" s="135">
        <f t="shared" si="185"/>
        <v>5.7567175643424547E-4</v>
      </c>
    </row>
    <row r="276" spans="2:32" s="141" customFormat="1">
      <c r="B276" s="163"/>
      <c r="C276" s="319">
        <f t="shared" si="167"/>
        <v>91201.083935591188</v>
      </c>
      <c r="D276" s="319">
        <f t="shared" si="167"/>
        <v>573033.31058295874</v>
      </c>
      <c r="E276" s="319" t="str">
        <f t="shared" si="167"/>
        <v>573033.310582959i</v>
      </c>
      <c r="F276" s="153"/>
      <c r="G276" s="320">
        <f t="shared" si="168"/>
        <v>-3.7129771257164313E-3</v>
      </c>
      <c r="H276" s="153">
        <f t="shared" si="169"/>
        <v>5.7303331058295879E-4</v>
      </c>
      <c r="I276" s="320">
        <f t="shared" si="170"/>
        <v>-3.1399438151334725E-3</v>
      </c>
      <c r="J276" s="153"/>
      <c r="K276" s="153" t="str">
        <f t="shared" si="171"/>
        <v>0.006-0.00313994381513347i</v>
      </c>
      <c r="L276" s="153"/>
      <c r="M276" s="153">
        <f t="shared" si="172"/>
        <v>-5.9502838553147927E-3</v>
      </c>
      <c r="N276" s="153">
        <f t="shared" si="173"/>
        <v>4.7752775881913228E-5</v>
      </c>
      <c r="O276" s="153">
        <f t="shared" si="174"/>
        <v>-5.9025310794328795E-3</v>
      </c>
      <c r="P276" s="153"/>
      <c r="Q276" s="153" t="str">
        <f t="shared" si="175"/>
        <v>0.00025-0.00590253107943288i</v>
      </c>
      <c r="R276" s="153"/>
      <c r="S276" s="153" t="str">
        <f t="shared" si="176"/>
        <v>-0.0000170336159564984-0.0000362001724303807i</v>
      </c>
      <c r="T276" s="153" t="str">
        <f t="shared" si="177"/>
        <v>0.00625-0.00904247489456635i</v>
      </c>
      <c r="U276" s="153" t="str">
        <f t="shared" si="178"/>
        <v>0.00182803234986034-0.00314723772805015i</v>
      </c>
      <c r="V276" s="321"/>
      <c r="W276" s="135"/>
      <c r="X276" s="135"/>
      <c r="Y276" s="135">
        <f t="shared" si="179"/>
        <v>3.6396164068481429E-3</v>
      </c>
      <c r="Z276" s="135">
        <f t="shared" si="180"/>
        <v>-1.0445863967146811</v>
      </c>
      <c r="AA276" s="135">
        <f t="shared" si="181"/>
        <v>-59.850391868529513</v>
      </c>
      <c r="AB276" s="135"/>
      <c r="AC276" s="135">
        <f t="shared" si="182"/>
        <v>1.8280323498603398E-3</v>
      </c>
      <c r="AD276" s="135">
        <f t="shared" si="183"/>
        <v>-3.1472377280501503E-3</v>
      </c>
      <c r="AE276" s="135">
        <f t="shared" si="184"/>
        <v>5.544859968896874E-4</v>
      </c>
      <c r="AF276" s="135">
        <f t="shared" si="185"/>
        <v>5.544859968896874E-4</v>
      </c>
    </row>
    <row r="277" spans="2:32" s="141" customFormat="1">
      <c r="B277" s="163"/>
      <c r="C277" s="319">
        <f t="shared" si="167"/>
        <v>100000.00000000038</v>
      </c>
      <c r="D277" s="319">
        <f t="shared" si="167"/>
        <v>628318.53071796102</v>
      </c>
      <c r="E277" s="319" t="str">
        <f t="shared" si="167"/>
        <v>628318.530717961i</v>
      </c>
      <c r="F277" s="153"/>
      <c r="G277" s="320">
        <f t="shared" si="168"/>
        <v>-3.3862753849339309E-3</v>
      </c>
      <c r="H277" s="153">
        <f t="shared" si="169"/>
        <v>6.2831853071796111E-4</v>
      </c>
      <c r="I277" s="320">
        <f t="shared" si="170"/>
        <v>-2.7579568542159699E-3</v>
      </c>
      <c r="J277" s="153"/>
      <c r="K277" s="153" t="str">
        <f t="shared" si="171"/>
        <v>0.006-0.00275795685421597i</v>
      </c>
      <c r="L277" s="153"/>
      <c r="M277" s="153">
        <f t="shared" si="172"/>
        <v>-5.4267233732915544E-3</v>
      </c>
      <c r="N277" s="153">
        <f t="shared" si="173"/>
        <v>5.2359877559830086E-5</v>
      </c>
      <c r="O277" s="153">
        <f t="shared" si="174"/>
        <v>-5.374363495731724E-3</v>
      </c>
      <c r="P277" s="153"/>
      <c r="Q277" s="153" t="str">
        <f t="shared" si="175"/>
        <v>0.00025-0.00537436349573172i</v>
      </c>
      <c r="R277" s="153"/>
      <c r="S277" s="153" t="str">
        <f t="shared" si="176"/>
        <v>-0.0000133222626401014-0.0000329356701879443i</v>
      </c>
      <c r="T277" s="153" t="str">
        <f t="shared" si="177"/>
        <v>0.00625-0.00813232034994769i</v>
      </c>
      <c r="U277" s="153" t="str">
        <f t="shared" si="178"/>
        <v>0.0017546036846107-0.00298666734999864i</v>
      </c>
      <c r="V277" s="321"/>
      <c r="W277" s="135"/>
      <c r="X277" s="135"/>
      <c r="Y277" s="135">
        <f t="shared" si="179"/>
        <v>3.4639307079670843E-3</v>
      </c>
      <c r="Z277" s="135">
        <f t="shared" si="180"/>
        <v>-1.0396344844354901</v>
      </c>
      <c r="AA277" s="135">
        <f t="shared" si="181"/>
        <v>-59.566668194412863</v>
      </c>
      <c r="AB277" s="135"/>
      <c r="AC277" s="135">
        <f t="shared" si="182"/>
        <v>1.7546036846107004E-3</v>
      </c>
      <c r="AD277" s="135">
        <f t="shared" si="183"/>
        <v>-2.98666734999864E-3</v>
      </c>
      <c r="AE277" s="135">
        <f t="shared" si="184"/>
        <v>5.3288473218139675E-4</v>
      </c>
      <c r="AF277" s="135">
        <f t="shared" si="185"/>
        <v>5.3288473218139675E-4</v>
      </c>
    </row>
    <row r="278" spans="2:32" s="141" customFormat="1">
      <c r="B278" s="163"/>
      <c r="C278" s="319">
        <f t="shared" si="167"/>
        <v>109647.81961431868</v>
      </c>
      <c r="D278" s="319">
        <f t="shared" si="167"/>
        <v>688937.56916496472</v>
      </c>
      <c r="E278" s="319" t="str">
        <f t="shared" si="167"/>
        <v>688937.569164965i</v>
      </c>
      <c r="F278" s="153"/>
      <c r="G278" s="320">
        <f t="shared" si="168"/>
        <v>-3.0883198561038575E-3</v>
      </c>
      <c r="H278" s="153">
        <f t="shared" si="169"/>
        <v>6.8893756916496476E-4</v>
      </c>
      <c r="I278" s="320">
        <f t="shared" si="170"/>
        <v>-2.3993822869388926E-3</v>
      </c>
      <c r="J278" s="153"/>
      <c r="K278" s="153" t="str">
        <f t="shared" si="171"/>
        <v>0.006-0.00239938228693889i</v>
      </c>
      <c r="L278" s="153"/>
      <c r="M278" s="153">
        <f t="shared" si="172"/>
        <v>-4.9492305386279762E-3</v>
      </c>
      <c r="N278" s="153">
        <f t="shared" si="173"/>
        <v>5.741146409708039E-5</v>
      </c>
      <c r="O278" s="153">
        <f t="shared" si="174"/>
        <v>-4.8918190745308957E-3</v>
      </c>
      <c r="P278" s="153"/>
      <c r="Q278" s="153" t="str">
        <f t="shared" si="175"/>
        <v>0.00025-0.0048918190745309i</v>
      </c>
      <c r="R278" s="153"/>
      <c r="S278" s="153" t="str">
        <f t="shared" si="176"/>
        <v>-0.0000102373440383392-0.0000299507600189201i</v>
      </c>
      <c r="T278" s="153" t="str">
        <f t="shared" si="177"/>
        <v>0.00625-0.00729120136146979i</v>
      </c>
      <c r="U278" s="153" t="str">
        <f t="shared" si="178"/>
        <v>0.00167411330700011-0.0028391140473066i</v>
      </c>
      <c r="V278" s="321"/>
      <c r="W278" s="135"/>
      <c r="X278" s="135"/>
      <c r="Y278" s="135">
        <f t="shared" si="179"/>
        <v>3.295940524082391E-3</v>
      </c>
      <c r="Z278" s="135">
        <f t="shared" si="180"/>
        <v>-1.0380141165306713</v>
      </c>
      <c r="AA278" s="135">
        <f t="shared" si="181"/>
        <v>-59.473827952208289</v>
      </c>
      <c r="AB278" s="135"/>
      <c r="AC278" s="135">
        <f t="shared" si="182"/>
        <v>1.6741133070001101E-3</v>
      </c>
      <c r="AD278" s="135">
        <f t="shared" si="183"/>
        <v>-2.8391140473065994E-3</v>
      </c>
      <c r="AE278" s="135">
        <f t="shared" si="184"/>
        <v>5.1125467599507908E-4</v>
      </c>
      <c r="AF278" s="135">
        <f t="shared" si="185"/>
        <v>5.1125467599507908E-4</v>
      </c>
    </row>
    <row r="279" spans="2:32" s="141" customFormat="1">
      <c r="B279" s="163"/>
      <c r="C279" s="319">
        <f t="shared" si="167"/>
        <v>120226.44346174144</v>
      </c>
      <c r="D279" s="319">
        <f t="shared" si="167"/>
        <v>755405.02309327107</v>
      </c>
      <c r="E279" s="319" t="str">
        <f t="shared" si="167"/>
        <v>755405.023093271i</v>
      </c>
      <c r="F279" s="153"/>
      <c r="G279" s="320">
        <f t="shared" si="168"/>
        <v>-2.8165811841648022E-3</v>
      </c>
      <c r="H279" s="153">
        <f t="shared" si="169"/>
        <v>7.5540502309327112E-4</v>
      </c>
      <c r="I279" s="320">
        <f t="shared" si="170"/>
        <v>-2.0611761610715312E-3</v>
      </c>
      <c r="J279" s="153"/>
      <c r="K279" s="153" t="str">
        <f t="shared" si="171"/>
        <v>0.006-0.00206117616107153i</v>
      </c>
      <c r="L279" s="153"/>
      <c r="M279" s="153">
        <f t="shared" si="172"/>
        <v>-4.5137518977000027E-3</v>
      </c>
      <c r="N279" s="153">
        <f t="shared" si="173"/>
        <v>6.2950418591105922E-5</v>
      </c>
      <c r="O279" s="153">
        <f t="shared" si="174"/>
        <v>-4.4508014791088965E-3</v>
      </c>
      <c r="P279" s="153"/>
      <c r="Q279" s="153" t="str">
        <f t="shared" si="175"/>
        <v>0.00025-0.0044508014791089i</v>
      </c>
      <c r="R279" s="153"/>
      <c r="S279" s="153" t="str">
        <f t="shared" si="176"/>
        <v>-7.67388590640117E-06-0.0000272201029149213i</v>
      </c>
      <c r="T279" s="153" t="str">
        <f t="shared" si="177"/>
        <v>0.00625-0.00651197764018043i</v>
      </c>
      <c r="U279" s="153" t="str">
        <f t="shared" si="178"/>
        <v>0.00158705693939421-0.00270163577790288i</v>
      </c>
      <c r="V279" s="321"/>
      <c r="W279" s="135"/>
      <c r="X279" s="135"/>
      <c r="Y279" s="135">
        <f t="shared" si="179"/>
        <v>3.1333026673662119E-3</v>
      </c>
      <c r="Z279" s="135">
        <f t="shared" si="180"/>
        <v>-1.0396611067926655</v>
      </c>
      <c r="AA279" s="135">
        <f t="shared" si="181"/>
        <v>-59.568193543119698</v>
      </c>
      <c r="AB279" s="135"/>
      <c r="AC279" s="135">
        <f t="shared" si="182"/>
        <v>1.5870569393942101E-3</v>
      </c>
      <c r="AD279" s="135">
        <f t="shared" si="183"/>
        <v>-2.7016357779028801E-3</v>
      </c>
      <c r="AE279" s="135">
        <f t="shared" si="184"/>
        <v>4.8999690016877082E-4</v>
      </c>
      <c r="AF279" s="135">
        <f t="shared" si="185"/>
        <v>4.8999690016877082E-4</v>
      </c>
    </row>
    <row r="280" spans="2:32" s="141" customFormat="1">
      <c r="B280" s="163"/>
      <c r="C280" s="319">
        <f t="shared" ref="C280:E299" si="186">C130</f>
        <v>131825.67385564081</v>
      </c>
      <c r="D280" s="319">
        <f t="shared" si="186"/>
        <v>828285.13707881048</v>
      </c>
      <c r="E280" s="319" t="str">
        <f t="shared" si="186"/>
        <v>828285.13707881i</v>
      </c>
      <c r="F280" s="153"/>
      <c r="G280" s="320">
        <f t="shared" si="168"/>
        <v>-2.5687525698842046E-3</v>
      </c>
      <c r="H280" s="153">
        <f t="shared" si="169"/>
        <v>8.2828513707881054E-4</v>
      </c>
      <c r="I280" s="320">
        <f t="shared" si="170"/>
        <v>-1.7404674328053941E-3</v>
      </c>
      <c r="J280" s="153"/>
      <c r="K280" s="153" t="str">
        <f t="shared" si="171"/>
        <v>0.006-0.00174046743280539i</v>
      </c>
      <c r="L280" s="153"/>
      <c r="M280" s="153">
        <f t="shared" si="172"/>
        <v>-4.1165906568657118E-3</v>
      </c>
      <c r="N280" s="153">
        <f t="shared" si="173"/>
        <v>6.9023761423234203E-5</v>
      </c>
      <c r="O280" s="153">
        <f t="shared" si="174"/>
        <v>-4.0475668954424778E-3</v>
      </c>
      <c r="P280" s="153"/>
      <c r="Q280" s="153" t="str">
        <f t="shared" si="175"/>
        <v>0.00025-0.00404756689544248i</v>
      </c>
      <c r="R280" s="153"/>
      <c r="S280" s="153" t="str">
        <f t="shared" si="176"/>
        <v>-5.54465836361886E-06-0.0000247205182308562i</v>
      </c>
      <c r="T280" s="153" t="str">
        <f t="shared" si="177"/>
        <v>0.00625-0.00578803432824787i</v>
      </c>
      <c r="U280" s="153" t="str">
        <f t="shared" si="178"/>
        <v>0.00149425790159595-0.00257147235218612i</v>
      </c>
      <c r="V280" s="321"/>
      <c r="W280" s="135"/>
      <c r="X280" s="135"/>
      <c r="Y280" s="135">
        <f t="shared" si="179"/>
        <v>2.9741009960220833E-3</v>
      </c>
      <c r="Z280" s="135">
        <f t="shared" si="180"/>
        <v>-1.0443969948625902</v>
      </c>
      <c r="AA280" s="135">
        <f t="shared" si="181"/>
        <v>-59.839539941772735</v>
      </c>
      <c r="AB280" s="135"/>
      <c r="AC280" s="135">
        <f t="shared" si="182"/>
        <v>1.4942579015959502E-3</v>
      </c>
      <c r="AD280" s="135">
        <f t="shared" si="183"/>
        <v>-2.5714723521861197E-3</v>
      </c>
      <c r="AE280" s="135">
        <f t="shared" si="184"/>
        <v>4.6950289269849109E-4</v>
      </c>
      <c r="AF280" s="135">
        <f t="shared" si="185"/>
        <v>4.6950289269849109E-4</v>
      </c>
    </row>
    <row r="281" spans="2:32" s="141" customFormat="1">
      <c r="B281" s="163"/>
      <c r="C281" s="319">
        <f t="shared" si="186"/>
        <v>144543.97707459307</v>
      </c>
      <c r="D281" s="319">
        <f t="shared" si="186"/>
        <v>908196.59299638611</v>
      </c>
      <c r="E281" s="319" t="str">
        <f t="shared" si="186"/>
        <v>908196.592996386i</v>
      </c>
      <c r="F281" s="153"/>
      <c r="G281" s="320">
        <f t="shared" si="168"/>
        <v>-2.3427301873577403E-3</v>
      </c>
      <c r="H281" s="153">
        <f t="shared" si="169"/>
        <v>9.0819659299638616E-4</v>
      </c>
      <c r="I281" s="320">
        <f t="shared" si="170"/>
        <v>-1.4345335943613542E-3</v>
      </c>
      <c r="J281" s="153"/>
      <c r="K281" s="153" t="str">
        <f t="shared" si="171"/>
        <v>0.006-0.00143453359436135i</v>
      </c>
      <c r="L281" s="153"/>
      <c r="M281" s="153">
        <f t="shared" si="172"/>
        <v>-3.7543753002527887E-3</v>
      </c>
      <c r="N281" s="153">
        <f t="shared" si="173"/>
        <v>7.5683049416365504E-5</v>
      </c>
      <c r="O281" s="153">
        <f t="shared" si="174"/>
        <v>-3.6786922508364231E-3</v>
      </c>
      <c r="P281" s="153"/>
      <c r="Q281" s="153" t="str">
        <f t="shared" si="175"/>
        <v>0.00025-0.00367869225083642i</v>
      </c>
      <c r="R281" s="153"/>
      <c r="S281" s="153" t="str">
        <f t="shared" si="176"/>
        <v>-3.77720761714161E-06-0.0000224307869036089i</v>
      </c>
      <c r="T281" s="153" t="str">
        <f t="shared" si="177"/>
        <v>0.00625-0.00511322584519777i</v>
      </c>
      <c r="U281" s="153" t="str">
        <f t="shared" si="178"/>
        <v>0.00139686419508833-0.0024461287678483i</v>
      </c>
      <c r="V281" s="321"/>
      <c r="W281" s="135"/>
      <c r="X281" s="135"/>
      <c r="Y281" s="135">
        <f t="shared" si="179"/>
        <v>2.8168733603793428E-3</v>
      </c>
      <c r="Z281" s="135">
        <f t="shared" si="180"/>
        <v>-1.0519349154824262</v>
      </c>
      <c r="AA281" s="135">
        <f t="shared" si="181"/>
        <v>-60.271430979593987</v>
      </c>
      <c r="AB281" s="135"/>
      <c r="AC281" s="135">
        <f t="shared" si="182"/>
        <v>1.3968641950883301E-3</v>
      </c>
      <c r="AD281" s="135">
        <f t="shared" si="183"/>
        <v>-2.4461287678482998E-3</v>
      </c>
      <c r="AE281" s="135">
        <f t="shared" si="184"/>
        <v>4.5013296214438018E-4</v>
      </c>
      <c r="AF281" s="135">
        <f t="shared" si="185"/>
        <v>4.5013296214438018E-4</v>
      </c>
    </row>
    <row r="282" spans="2:32" s="141" customFormat="1">
      <c r="B282" s="163"/>
      <c r="C282" s="319">
        <f t="shared" si="186"/>
        <v>158489.31924611164</v>
      </c>
      <c r="D282" s="319">
        <f t="shared" si="186"/>
        <v>995817.76203206345</v>
      </c>
      <c r="E282" s="319" t="str">
        <f t="shared" si="186"/>
        <v>995817.762032063i</v>
      </c>
      <c r="F282" s="153"/>
      <c r="G282" s="320">
        <f t="shared" si="168"/>
        <v>-2.1365953245565616E-3</v>
      </c>
      <c r="H282" s="153">
        <f t="shared" si="169"/>
        <v>9.9581776203206351E-4</v>
      </c>
      <c r="I282" s="320">
        <f t="shared" si="170"/>
        <v>-1.1407775625244981E-3</v>
      </c>
      <c r="J282" s="153"/>
      <c r="K282" s="153" t="str">
        <f t="shared" si="171"/>
        <v>0.006-0.0011407775625245i</v>
      </c>
      <c r="L282" s="153"/>
      <c r="M282" s="153">
        <f t="shared" si="172"/>
        <v>-3.4240309688406425E-3</v>
      </c>
      <c r="N282" s="153">
        <f t="shared" si="173"/>
        <v>8.2984813502671954E-5</v>
      </c>
      <c r="O282" s="153">
        <f t="shared" si="174"/>
        <v>-3.3410461553379706E-3</v>
      </c>
      <c r="P282" s="153"/>
      <c r="Q282" s="153" t="str">
        <f t="shared" si="175"/>
        <v>0.00025-0.00334104615533797i</v>
      </c>
      <c r="R282" s="153"/>
      <c r="S282" s="153" t="str">
        <f t="shared" si="176"/>
        <v>-0.0000023113904893683-0.0000203314713226589i</v>
      </c>
      <c r="T282" s="153" t="str">
        <f t="shared" si="177"/>
        <v>0.00625-0.00448182371786247i</v>
      </c>
      <c r="U282" s="153" t="str">
        <f t="shared" si="178"/>
        <v>0.00129631208886442-0.00232346064912552i</v>
      </c>
      <c r="V282" s="321"/>
      <c r="W282" s="135"/>
      <c r="X282" s="135"/>
      <c r="Y282" s="135">
        <f t="shared" si="179"/>
        <v>2.6606191797720357E-3</v>
      </c>
      <c r="Z282" s="135">
        <f t="shared" si="180"/>
        <v>-1.0618905712409969</v>
      </c>
      <c r="AA282" s="135">
        <f t="shared" si="181"/>
        <v>-60.841848036845192</v>
      </c>
      <c r="AB282" s="135"/>
      <c r="AC282" s="135">
        <f t="shared" si="182"/>
        <v>1.2963120888644201E-3</v>
      </c>
      <c r="AD282" s="135">
        <f t="shared" si="183"/>
        <v>-2.3234606491255201E-3</v>
      </c>
      <c r="AE282" s="135">
        <f t="shared" si="184"/>
        <v>4.3220004733866878E-4</v>
      </c>
      <c r="AF282" s="135">
        <f t="shared" si="185"/>
        <v>4.3220004733866878E-4</v>
      </c>
    </row>
    <row r="283" spans="2:32" s="141" customFormat="1">
      <c r="B283" s="163"/>
      <c r="C283" s="319">
        <f t="shared" si="186"/>
        <v>173780.0828749378</v>
      </c>
      <c r="D283" s="319">
        <f t="shared" si="186"/>
        <v>1091892.4634002601</v>
      </c>
      <c r="E283" s="319" t="str">
        <f t="shared" si="186"/>
        <v>1091892.46340026i</v>
      </c>
      <c r="F283" s="153"/>
      <c r="G283" s="320">
        <f t="shared" si="168"/>
        <v>-1.9485980953127425E-3</v>
      </c>
      <c r="H283" s="153">
        <f t="shared" si="169"/>
        <v>1.0918924634002601E-3</v>
      </c>
      <c r="I283" s="320">
        <f t="shared" si="170"/>
        <v>-8.5670563191248233E-4</v>
      </c>
      <c r="J283" s="153"/>
      <c r="K283" s="153" t="str">
        <f t="shared" si="171"/>
        <v>0.006-0.000856705631912482i</v>
      </c>
      <c r="L283" s="153"/>
      <c r="M283" s="153">
        <f t="shared" si="172"/>
        <v>-3.1227533578729841E-3</v>
      </c>
      <c r="N283" s="153">
        <f t="shared" si="173"/>
        <v>9.0991038616688335E-5</v>
      </c>
      <c r="O283" s="153">
        <f t="shared" si="174"/>
        <v>-3.0317623192562958E-3</v>
      </c>
      <c r="P283" s="153"/>
      <c r="Q283" s="153" t="str">
        <f t="shared" si="175"/>
        <v>0.00025-0.0030317623192563i</v>
      </c>
      <c r="R283" s="153"/>
      <c r="S283" s="153" t="str">
        <f t="shared" si="176"/>
        <v>-1.09732785352692E-06-0.0000184047503235159i</v>
      </c>
      <c r="T283" s="153" t="str">
        <f t="shared" si="177"/>
        <v>0.00625-0.00388846795116878i</v>
      </c>
      <c r="U283" s="153" t="str">
        <f t="shared" si="178"/>
        <v>0.001194255786282-0.00220174799568968i</v>
      </c>
      <c r="V283" s="321"/>
      <c r="W283" s="135"/>
      <c r="X283" s="135"/>
      <c r="Y283" s="135">
        <f t="shared" si="179"/>
        <v>2.5047836472620868E-3</v>
      </c>
      <c r="Z283" s="135">
        <f t="shared" si="180"/>
        <v>-1.0737970560253229</v>
      </c>
      <c r="AA283" s="135">
        <f t="shared" si="181"/>
        <v>-61.52403936382381</v>
      </c>
      <c r="AB283" s="135"/>
      <c r="AC283" s="135">
        <f t="shared" si="182"/>
        <v>1.194255786282E-3</v>
      </c>
      <c r="AD283" s="135">
        <f t="shared" si="183"/>
        <v>-2.20174799568968E-3</v>
      </c>
      <c r="AE283" s="135">
        <f t="shared" si="184"/>
        <v>4.1596091223424002E-4</v>
      </c>
      <c r="AF283" s="135">
        <f t="shared" si="185"/>
        <v>4.1596091223424002E-4</v>
      </c>
    </row>
    <row r="284" spans="2:32" s="141" customFormat="1">
      <c r="B284" s="163"/>
      <c r="C284" s="319">
        <f t="shared" si="186"/>
        <v>190546.07179632492</v>
      </c>
      <c r="D284" s="319">
        <f t="shared" si="186"/>
        <v>1197236.2786514552</v>
      </c>
      <c r="E284" s="319" t="str">
        <f t="shared" si="186"/>
        <v>1197236.27865146i</v>
      </c>
      <c r="F284" s="153"/>
      <c r="G284" s="320">
        <f t="shared" si="168"/>
        <v>-1.7771425844735021E-3</v>
      </c>
      <c r="H284" s="153">
        <f t="shared" si="169"/>
        <v>1.1972362786514552E-3</v>
      </c>
      <c r="I284" s="320">
        <f t="shared" si="170"/>
        <v>-5.7990630582204698E-4</v>
      </c>
      <c r="J284" s="153"/>
      <c r="K284" s="153" t="str">
        <f t="shared" si="171"/>
        <v>0.006-0.000579906305822047i</v>
      </c>
      <c r="L284" s="153"/>
      <c r="M284" s="153">
        <f t="shared" si="172"/>
        <v>-2.8479849110152273E-3</v>
      </c>
      <c r="N284" s="153">
        <f t="shared" si="173"/>
        <v>9.976968988762126E-5</v>
      </c>
      <c r="O284" s="153">
        <f t="shared" si="174"/>
        <v>-2.7482152211276058E-3</v>
      </c>
      <c r="P284" s="153"/>
      <c r="Q284" s="153" t="str">
        <f t="shared" si="175"/>
        <v>0.00025-0.00274821522112761i</v>
      </c>
      <c r="R284" s="153"/>
      <c r="S284" s="153" t="str">
        <f t="shared" si="176"/>
        <v>-9.37073364880324E-08-0.0000166342679032212i</v>
      </c>
      <c r="T284" s="153" t="str">
        <f t="shared" si="177"/>
        <v>0.00625-0.00332812152694966i</v>
      </c>
      <c r="U284" s="153" t="str">
        <f t="shared" si="178"/>
        <v>0.00109246916065699-0.00207974364353761i</v>
      </c>
      <c r="V284" s="321"/>
      <c r="W284" s="135"/>
      <c r="X284" s="135"/>
      <c r="Y284" s="135">
        <f t="shared" si="179"/>
        <v>2.3492174207215646E-3</v>
      </c>
      <c r="Z284" s="135">
        <f t="shared" si="180"/>
        <v>-1.0871217783707592</v>
      </c>
      <c r="AA284" s="135">
        <f t="shared" si="181"/>
        <v>-62.287489717400959</v>
      </c>
      <c r="AB284" s="135"/>
      <c r="AC284" s="135">
        <f t="shared" si="182"/>
        <v>1.0924691606569901E-3</v>
      </c>
      <c r="AD284" s="135">
        <f t="shared" si="183"/>
        <v>-2.0797436435376097E-3</v>
      </c>
      <c r="AE284" s="135">
        <f t="shared" si="184"/>
        <v>4.0161537086454927E-4</v>
      </c>
      <c r="AF284" s="135">
        <f t="shared" si="185"/>
        <v>4.0161537086454927E-4</v>
      </c>
    </row>
    <row r="285" spans="2:32" s="141" customFormat="1">
      <c r="B285" s="163"/>
      <c r="C285" s="319">
        <f t="shared" si="186"/>
        <v>208929.61308540447</v>
      </c>
      <c r="D285" s="319">
        <f t="shared" si="186"/>
        <v>1312743.4751729292</v>
      </c>
      <c r="E285" s="319" t="str">
        <f t="shared" si="186"/>
        <v>1312743.47517293i</v>
      </c>
      <c r="F285" s="153"/>
      <c r="G285" s="320">
        <f t="shared" si="168"/>
        <v>-1.6207733001208069E-3</v>
      </c>
      <c r="H285" s="153">
        <f t="shared" si="169"/>
        <v>1.3127434751729293E-3</v>
      </c>
      <c r="I285" s="320">
        <f t="shared" si="170"/>
        <v>-3.0802982494787762E-4</v>
      </c>
      <c r="J285" s="153"/>
      <c r="K285" s="153" t="str">
        <f t="shared" si="171"/>
        <v>0.006-0.000308029824947878i</v>
      </c>
      <c r="L285" s="153"/>
      <c r="M285" s="153">
        <f t="shared" si="172"/>
        <v>-2.5973931091679598E-3</v>
      </c>
      <c r="N285" s="153">
        <f t="shared" si="173"/>
        <v>1.0939528959774409E-4</v>
      </c>
      <c r="O285" s="153">
        <f t="shared" si="174"/>
        <v>-2.4879978195702156E-3</v>
      </c>
      <c r="P285" s="153"/>
      <c r="Q285" s="153" t="str">
        <f t="shared" si="175"/>
        <v>0.00025-0.00248799781957022i</v>
      </c>
      <c r="R285" s="153"/>
      <c r="S285" s="153" t="str">
        <f t="shared" si="176"/>
        <v>7.33622467167083E-07-0.0000150049943736583i</v>
      </c>
      <c r="T285" s="153" t="str">
        <f t="shared" si="177"/>
        <v>0.00625-0.0027960276445181i</v>
      </c>
      <c r="U285" s="153" t="str">
        <f t="shared" si="178"/>
        <v>0.000992731460585711-0.00195668636260445i</v>
      </c>
      <c r="V285" s="321"/>
      <c r="W285" s="135"/>
      <c r="X285" s="135"/>
      <c r="Y285" s="135">
        <f t="shared" si="179"/>
        <v>2.1941142345919167E-3</v>
      </c>
      <c r="Z285" s="135">
        <f t="shared" si="180"/>
        <v>-1.1012833249124738</v>
      </c>
      <c r="AA285" s="135">
        <f t="shared" si="181"/>
        <v>-63.098886565619296</v>
      </c>
      <c r="AB285" s="135"/>
      <c r="AC285" s="135">
        <f t="shared" si="182"/>
        <v>9.9273146058571123E-4</v>
      </c>
      <c r="AD285" s="135">
        <f t="shared" si="183"/>
        <v>-1.95668636260445E-3</v>
      </c>
      <c r="AE285" s="135">
        <f t="shared" si="184"/>
        <v>3.8931300673186736E-4</v>
      </c>
      <c r="AF285" s="135">
        <f t="shared" si="185"/>
        <v>3.8931300673186736E-4</v>
      </c>
    </row>
    <row r="286" spans="2:32" s="141" customFormat="1">
      <c r="B286" s="163"/>
      <c r="C286" s="319">
        <f t="shared" si="186"/>
        <v>229086.76527677779</v>
      </c>
      <c r="D286" s="319">
        <f t="shared" si="186"/>
        <v>1439394.5976563487</v>
      </c>
      <c r="E286" s="319" t="str">
        <f t="shared" si="186"/>
        <v>1439394.59765635i</v>
      </c>
      <c r="F286" s="153"/>
      <c r="G286" s="320">
        <f t="shared" si="168"/>
        <v>-1.4781628178488257E-3</v>
      </c>
      <c r="H286" s="153">
        <f t="shared" si="169"/>
        <v>1.4393945976563488E-3</v>
      </c>
      <c r="I286" s="320">
        <f t="shared" si="170"/>
        <v>-3.8768220192476888E-5</v>
      </c>
      <c r="J286" s="153"/>
      <c r="K286" s="153" t="str">
        <f t="shared" si="171"/>
        <v>0.006-0.0000387682201924769i</v>
      </c>
      <c r="L286" s="153"/>
      <c r="M286" s="153">
        <f t="shared" si="172"/>
        <v>-2.3688506696295281E-3</v>
      </c>
      <c r="N286" s="153">
        <f t="shared" si="173"/>
        <v>1.1994954980469572E-4</v>
      </c>
      <c r="O286" s="153">
        <f t="shared" si="174"/>
        <v>-2.2489011198248325E-3</v>
      </c>
      <c r="P286" s="153"/>
      <c r="Q286" s="153" t="str">
        <f t="shared" si="175"/>
        <v>0.00025-0.00224890111982483i</v>
      </c>
      <c r="R286" s="153"/>
      <c r="S286" s="153" t="str">
        <f t="shared" si="176"/>
        <v>1.41281410619552E-06-0.0000135030987739971i</v>
      </c>
      <c r="T286" s="153" t="str">
        <f t="shared" si="177"/>
        <v>0.00625-0.00228766934001731i</v>
      </c>
      <c r="U286" s="153" t="str">
        <f t="shared" si="178"/>
        <v>0.000896712459117773-0.00183227474791389i</v>
      </c>
      <c r="V286" s="321"/>
      <c r="W286" s="135"/>
      <c r="X286" s="135"/>
      <c r="Y286" s="135">
        <f t="shared" si="179"/>
        <v>2.0399323484321615E-3</v>
      </c>
      <c r="Z286" s="135">
        <f t="shared" si="180"/>
        <v>-1.1156658542023412</v>
      </c>
      <c r="AA286" s="135">
        <f t="shared" si="181"/>
        <v>-63.922944792651997</v>
      </c>
      <c r="AB286" s="135"/>
      <c r="AC286" s="135">
        <f t="shared" si="182"/>
        <v>8.9671245911777334E-4</v>
      </c>
      <c r="AD286" s="135">
        <f t="shared" si="183"/>
        <v>-1.8322747479138902E-3</v>
      </c>
      <c r="AE286" s="135">
        <f t="shared" si="184"/>
        <v>3.7916612952284054E-4</v>
      </c>
      <c r="AF286" s="135">
        <f t="shared" si="185"/>
        <v>3.7916612952284054E-4</v>
      </c>
    </row>
    <row r="287" spans="2:32" s="141" customFormat="1">
      <c r="B287" s="163"/>
      <c r="C287" s="319">
        <f t="shared" si="186"/>
        <v>251188.64315095844</v>
      </c>
      <c r="D287" s="319">
        <f t="shared" si="186"/>
        <v>1578264.7919764782</v>
      </c>
      <c r="E287" s="319" t="str">
        <f t="shared" si="186"/>
        <v>1578264.79197648i</v>
      </c>
      <c r="F287" s="153"/>
      <c r="G287" s="320">
        <f t="shared" si="168"/>
        <v>-1.3481005122110048E-3</v>
      </c>
      <c r="H287" s="153">
        <f t="shared" si="169"/>
        <v>1.5782647919764783E-3</v>
      </c>
      <c r="I287" s="320">
        <f t="shared" si="170"/>
        <v>2.3016427976547352E-4</v>
      </c>
      <c r="J287" s="153"/>
      <c r="K287" s="153" t="str">
        <f t="shared" si="171"/>
        <v>0.006+0.000230164279765474i</v>
      </c>
      <c r="L287" s="153"/>
      <c r="M287" s="153">
        <f t="shared" si="172"/>
        <v>-2.1604174875176356E-3</v>
      </c>
      <c r="N287" s="153">
        <f t="shared" si="173"/>
        <v>1.3152206599803984E-4</v>
      </c>
      <c r="O287" s="153">
        <f t="shared" si="174"/>
        <v>-2.0288954215195959E-3</v>
      </c>
      <c r="P287" s="153"/>
      <c r="Q287" s="153" t="str">
        <f t="shared" si="175"/>
        <v>0.00025-0.0020288954215196i</v>
      </c>
      <c r="R287" s="153"/>
      <c r="S287" s="153" t="str">
        <f t="shared" si="176"/>
        <v>1.96697925341353E-06-0.0000121158314591762i</v>
      </c>
      <c r="T287" s="153" t="str">
        <f t="shared" si="177"/>
        <v>0.00625-0.00179873114175413i</v>
      </c>
      <c r="U287" s="153" t="str">
        <f t="shared" si="178"/>
        <v>0.000805872549545534-0.00170660534528382i</v>
      </c>
      <c r="V287" s="321"/>
      <c r="W287" s="135"/>
      <c r="X287" s="135"/>
      <c r="Y287" s="135">
        <f t="shared" si="179"/>
        <v>1.8873082341425646E-3</v>
      </c>
      <c r="Z287" s="135">
        <f t="shared" si="180"/>
        <v>-1.1296285460600248</v>
      </c>
      <c r="AA287" s="135">
        <f t="shared" si="181"/>
        <v>-64.72294810673894</v>
      </c>
      <c r="AB287" s="135"/>
      <c r="AC287" s="135">
        <f t="shared" si="182"/>
        <v>8.0587254954553387E-4</v>
      </c>
      <c r="AD287" s="135">
        <f t="shared" si="183"/>
        <v>-1.7066053452838199E-3</v>
      </c>
      <c r="AE287" s="135">
        <f t="shared" si="184"/>
        <v>3.71267582449649E-4</v>
      </c>
      <c r="AF287" s="135">
        <f t="shared" si="185"/>
        <v>3.71267582449649E-4</v>
      </c>
    </row>
    <row r="288" spans="2:32" s="141" customFormat="1">
      <c r="B288" s="163"/>
      <c r="C288" s="319">
        <f t="shared" si="186"/>
        <v>275422.87033381703</v>
      </c>
      <c r="D288" s="319">
        <f t="shared" si="186"/>
        <v>1730532.9321426675</v>
      </c>
      <c r="E288" s="319" t="str">
        <f t="shared" si="186"/>
        <v>1730532.93214267i</v>
      </c>
      <c r="F288" s="153"/>
      <c r="G288" s="320">
        <f t="shared" si="168"/>
        <v>-1.2294822796776906E-3</v>
      </c>
      <c r="H288" s="153">
        <f t="shared" si="169"/>
        <v>1.7305329321426676E-3</v>
      </c>
      <c r="I288" s="320">
        <f t="shared" si="170"/>
        <v>5.0105065246497708E-4</v>
      </c>
      <c r="J288" s="153"/>
      <c r="K288" s="153" t="str">
        <f t="shared" si="171"/>
        <v>0.006+0.000501050652464977i</v>
      </c>
      <c r="L288" s="153"/>
      <c r="M288" s="153">
        <f t="shared" si="172"/>
        <v>-1.9703241661501452E-3</v>
      </c>
      <c r="N288" s="153">
        <f t="shared" si="173"/>
        <v>1.4421107767855561E-4</v>
      </c>
      <c r="O288" s="153">
        <f t="shared" si="174"/>
        <v>-1.8261130884715895E-3</v>
      </c>
      <c r="P288" s="153"/>
      <c r="Q288" s="153" t="str">
        <f t="shared" si="175"/>
        <v>0.00025-0.00182611308847159i</v>
      </c>
      <c r="R288" s="153"/>
      <c r="S288" s="153" t="str">
        <f t="shared" si="176"/>
        <v>2.41497515445352E-06-0.0000108314158677133i</v>
      </c>
      <c r="T288" s="153" t="str">
        <f t="shared" si="177"/>
        <v>0.00625-0.00132506243600661i</v>
      </c>
      <c r="U288" s="153" t="str">
        <f t="shared" si="178"/>
        <v>0.000721389766182308-0.00158008470189208i</v>
      </c>
      <c r="V288" s="321"/>
      <c r="W288" s="135"/>
      <c r="X288" s="135"/>
      <c r="Y288" s="135">
        <f t="shared" si="179"/>
        <v>1.7369717498871274E-3</v>
      </c>
      <c r="Z288" s="135">
        <f t="shared" si="180"/>
        <v>-1.1425076899240754</v>
      </c>
      <c r="AA288" s="135">
        <f t="shared" si="181"/>
        <v>-65.460868693890845</v>
      </c>
      <c r="AB288" s="135"/>
      <c r="AC288" s="135">
        <f t="shared" si="182"/>
        <v>7.2138976618230804E-4</v>
      </c>
      <c r="AD288" s="135">
        <f t="shared" si="183"/>
        <v>-1.5800847018920803E-3</v>
      </c>
      <c r="AE288" s="135">
        <f t="shared" si="184"/>
        <v>3.6571246513339266E-4</v>
      </c>
      <c r="AF288" s="135">
        <f t="shared" si="185"/>
        <v>3.6571246513339266E-4</v>
      </c>
    </row>
    <row r="289" spans="2:32" s="141" customFormat="1">
      <c r="B289" s="163"/>
      <c r="C289" s="319">
        <f t="shared" si="186"/>
        <v>301995.17204020242</v>
      </c>
      <c r="D289" s="319">
        <f t="shared" si="186"/>
        <v>1897491.6278021713</v>
      </c>
      <c r="E289" s="319" t="str">
        <f t="shared" si="186"/>
        <v>1897491.62780217i</v>
      </c>
      <c r="F289" s="153"/>
      <c r="G289" s="320">
        <f t="shared" si="168"/>
        <v>-1.1213011658620666E-3</v>
      </c>
      <c r="H289" s="153">
        <f t="shared" si="169"/>
        <v>1.8974916278021714E-3</v>
      </c>
      <c r="I289" s="320">
        <f t="shared" si="170"/>
        <v>7.7619046194010483E-4</v>
      </c>
      <c r="J289" s="153"/>
      <c r="K289" s="153" t="str">
        <f t="shared" si="171"/>
        <v>0.006+0.000776190461940105i</v>
      </c>
      <c r="L289" s="153"/>
      <c r="M289" s="153">
        <f t="shared" si="172"/>
        <v>-1.7969569965738245E-3</v>
      </c>
      <c r="N289" s="153">
        <f t="shared" si="173"/>
        <v>1.581243023168476E-4</v>
      </c>
      <c r="O289" s="153">
        <f t="shared" si="174"/>
        <v>-1.6388326942569768E-3</v>
      </c>
      <c r="P289" s="153"/>
      <c r="Q289" s="153" t="str">
        <f t="shared" si="175"/>
        <v>0.00025-0.00163883269425698i</v>
      </c>
      <c r="R289" s="153"/>
      <c r="S289" s="153" t="str">
        <f t="shared" si="176"/>
        <v>2.77204630599787E-06-9.63894855005685E-06i</v>
      </c>
      <c r="T289" s="153" t="str">
        <f t="shared" si="177"/>
        <v>0.00625-0.000862642232316875i</v>
      </c>
      <c r="U289" s="153" t="str">
        <f t="shared" si="178"/>
        <v>0.000644119825777654-0.00145332857370695i</v>
      </c>
      <c r="V289" s="321"/>
      <c r="W289" s="135"/>
      <c r="X289" s="135"/>
      <c r="Y289" s="135">
        <f t="shared" si="179"/>
        <v>1.5896711273445565E-3</v>
      </c>
      <c r="Z289" s="135">
        <f t="shared" si="180"/>
        <v>-1.1536090056718216</v>
      </c>
      <c r="AA289" s="135">
        <f t="shared" si="181"/>
        <v>-66.096927233278834</v>
      </c>
      <c r="AB289" s="135"/>
      <c r="AC289" s="135">
        <f t="shared" si="182"/>
        <v>6.4411982577765401E-4</v>
      </c>
      <c r="AD289" s="135">
        <f t="shared" si="183"/>
        <v>-1.45332857370695E-3</v>
      </c>
      <c r="AE289" s="135">
        <f t="shared" si="184"/>
        <v>3.6262381232273096E-4</v>
      </c>
      <c r="AF289" s="135">
        <f t="shared" si="185"/>
        <v>3.6262381232273096E-4</v>
      </c>
    </row>
    <row r="290" spans="2:32" s="141" customFormat="1">
      <c r="B290" s="163"/>
      <c r="C290" s="319">
        <f t="shared" si="186"/>
        <v>331131.12148259184</v>
      </c>
      <c r="D290" s="319">
        <f t="shared" si="186"/>
        <v>2080558.1972493196</v>
      </c>
      <c r="E290" s="319" t="str">
        <f t="shared" si="186"/>
        <v>2080558.19724932i</v>
      </c>
      <c r="F290" s="153"/>
      <c r="G290" s="320">
        <f t="shared" si="168"/>
        <v>-1.022638817448624E-3</v>
      </c>
      <c r="H290" s="153">
        <f t="shared" si="169"/>
        <v>2.0805581972493199E-3</v>
      </c>
      <c r="I290" s="320">
        <f t="shared" si="170"/>
        <v>1.0579193798006959E-3</v>
      </c>
      <c r="J290" s="153"/>
      <c r="K290" s="153" t="str">
        <f t="shared" si="171"/>
        <v>0.006+0.0010579193798007i</v>
      </c>
      <c r="L290" s="153"/>
      <c r="M290" s="153">
        <f t="shared" si="172"/>
        <v>-1.6388442587317688E-3</v>
      </c>
      <c r="N290" s="153">
        <f t="shared" si="173"/>
        <v>1.7337984977077662E-4</v>
      </c>
      <c r="O290" s="153">
        <f t="shared" si="174"/>
        <v>-1.4654644089609923E-3</v>
      </c>
      <c r="P290" s="153"/>
      <c r="Q290" s="153" t="str">
        <f t="shared" si="175"/>
        <v>0.00025-0.00146546440896099i</v>
      </c>
      <c r="R290" s="153"/>
      <c r="S290" s="153" t="str">
        <f t="shared" si="176"/>
        <v>3.05034319864801E-06-8.52830660881577E-06i</v>
      </c>
      <c r="T290" s="153" t="str">
        <f t="shared" si="177"/>
        <v>0.00625-0.00040754502916029i</v>
      </c>
      <c r="U290" s="153" t="str">
        <f t="shared" si="178"/>
        <v>0.00057458889706805-0.0013270617216008i</v>
      </c>
      <c r="V290" s="321"/>
      <c r="W290" s="135"/>
      <c r="X290" s="135"/>
      <c r="Y290" s="135">
        <f t="shared" si="179"/>
        <v>1.4461138314710766E-3</v>
      </c>
      <c r="Z290" s="135">
        <f t="shared" si="180"/>
        <v>-1.1621874618396644</v>
      </c>
      <c r="AA290" s="135">
        <f t="shared" si="181"/>
        <v>-66.588436566434183</v>
      </c>
      <c r="AB290" s="135"/>
      <c r="AC290" s="135">
        <f t="shared" si="182"/>
        <v>5.7458889706804984E-4</v>
      </c>
      <c r="AD290" s="135">
        <f t="shared" si="183"/>
        <v>-1.3270617216008002E-3</v>
      </c>
      <c r="AE290" s="135">
        <f t="shared" si="184"/>
        <v>3.62183790231753E-4</v>
      </c>
      <c r="AF290" s="135">
        <f t="shared" si="185"/>
        <v>3.62183790231753E-4</v>
      </c>
    </row>
    <row r="291" spans="2:32" s="141" customFormat="1">
      <c r="B291" s="163"/>
      <c r="C291" s="319">
        <f t="shared" si="186"/>
        <v>363078.05477010203</v>
      </c>
      <c r="D291" s="319">
        <f t="shared" si="186"/>
        <v>2281286.6990908501</v>
      </c>
      <c r="E291" s="319" t="str">
        <f t="shared" si="186"/>
        <v>2281286.69909085i</v>
      </c>
      <c r="F291" s="153"/>
      <c r="G291" s="320">
        <f t="shared" si="168"/>
        <v>-9.3265768625925476E-4</v>
      </c>
      <c r="H291" s="153">
        <f t="shared" si="169"/>
        <v>2.2812866990908503E-3</v>
      </c>
      <c r="I291" s="320">
        <f t="shared" si="170"/>
        <v>1.3486290128315957E-3</v>
      </c>
      <c r="J291" s="153"/>
      <c r="K291" s="153" t="str">
        <f t="shared" si="171"/>
        <v>0.006+0.0013486290128316i</v>
      </c>
      <c r="L291" s="153"/>
      <c r="M291" s="153">
        <f t="shared" si="172"/>
        <v>-1.4946437279795748E-3</v>
      </c>
      <c r="N291" s="153">
        <f t="shared" si="173"/>
        <v>1.9010722492423751E-4</v>
      </c>
      <c r="O291" s="153">
        <f t="shared" si="174"/>
        <v>-1.3045365030553372E-3</v>
      </c>
      <c r="P291" s="153"/>
      <c r="Q291" s="153" t="str">
        <f t="shared" si="175"/>
        <v>0.00025-0.00130453650305534i</v>
      </c>
      <c r="R291" s="153"/>
      <c r="S291" s="153" t="str">
        <f t="shared" si="176"/>
        <v>3.25933577631831E-06-7.49006176512414E-06i</v>
      </c>
      <c r="T291" s="153" t="str">
        <f t="shared" si="177"/>
        <v>0.00625+0.00004409250977626i</v>
      </c>
      <c r="U291" s="153" t="str">
        <f t="shared" si="178"/>
        <v>0.000513013647493159-0.00120202909190265i</v>
      </c>
      <c r="V291" s="321"/>
      <c r="W291" s="135"/>
      <c r="X291" s="135"/>
      <c r="Y291" s="135">
        <f t="shared" si="179"/>
        <v>1.3069265244437212E-3</v>
      </c>
      <c r="Z291" s="135">
        <f t="shared" si="180"/>
        <v>-1.1674107560749409</v>
      </c>
      <c r="AA291" s="135">
        <f t="shared" si="181"/>
        <v>-66.887709281270546</v>
      </c>
      <c r="AB291" s="135"/>
      <c r="AC291" s="135">
        <f t="shared" si="182"/>
        <v>5.1301364749315901E-4</v>
      </c>
      <c r="AD291" s="135">
        <f t="shared" si="183"/>
        <v>-1.2020290919026498E-3</v>
      </c>
      <c r="AE291" s="135">
        <f t="shared" si="184"/>
        <v>3.6467429573439211E-4</v>
      </c>
      <c r="AF291" s="135">
        <f t="shared" si="185"/>
        <v>3.6467429573439211E-4</v>
      </c>
    </row>
    <row r="292" spans="2:32" s="141" customFormat="1">
      <c r="B292" s="163"/>
      <c r="C292" s="319">
        <f t="shared" si="186"/>
        <v>398107.17055349785</v>
      </c>
      <c r="D292" s="319">
        <f t="shared" si="186"/>
        <v>2501381.1247045752</v>
      </c>
      <c r="E292" s="319" t="str">
        <f t="shared" si="186"/>
        <v>2501381.12470458i</v>
      </c>
      <c r="F292" s="153"/>
      <c r="G292" s="320">
        <f t="shared" si="168"/>
        <v>-8.505939192770441E-4</v>
      </c>
      <c r="H292" s="153">
        <f t="shared" si="169"/>
        <v>2.5013811247045752E-3</v>
      </c>
      <c r="I292" s="320">
        <f t="shared" si="170"/>
        <v>1.6507872054275312E-3</v>
      </c>
      <c r="J292" s="153"/>
      <c r="K292" s="153" t="str">
        <f t="shared" si="171"/>
        <v>0.006+0.00165078720542753i</v>
      </c>
      <c r="L292" s="153"/>
      <c r="M292" s="153">
        <f t="shared" si="172"/>
        <v>-1.3631312808926985E-3</v>
      </c>
      <c r="N292" s="153">
        <f t="shared" si="173"/>
        <v>2.0844842705871458E-4</v>
      </c>
      <c r="O292" s="153">
        <f t="shared" si="174"/>
        <v>-1.154682853833984E-3</v>
      </c>
      <c r="P292" s="153"/>
      <c r="Q292" s="153" t="str">
        <f t="shared" si="175"/>
        <v>0.00025-0.00115468285383398i</v>
      </c>
      <c r="R292" s="153"/>
      <c r="S292" s="153" t="str">
        <f t="shared" si="176"/>
        <v>3.40613568143568E-06-0.000006515400321647i</v>
      </c>
      <c r="T292" s="153" t="str">
        <f t="shared" si="177"/>
        <v>0.00625+0.00049610435159355i</v>
      </c>
      <c r="U292" s="153" t="str">
        <f t="shared" si="178"/>
        <v>0.000459340210213181-0.0010789249598073i</v>
      </c>
      <c r="V292" s="321"/>
      <c r="W292" s="135"/>
      <c r="X292" s="135"/>
      <c r="Y292" s="135">
        <f t="shared" si="179"/>
        <v>1.1726348526348146E-3</v>
      </c>
      <c r="Z292" s="135">
        <f t="shared" si="180"/>
        <v>-1.1683000814255211</v>
      </c>
      <c r="AA292" s="135">
        <f t="shared" si="181"/>
        <v>-66.93866387047278</v>
      </c>
      <c r="AB292" s="135"/>
      <c r="AC292" s="135">
        <f t="shared" si="182"/>
        <v>4.5934021021318093E-4</v>
      </c>
      <c r="AD292" s="135">
        <f t="shared" si="183"/>
        <v>-1.0789249598073E-3</v>
      </c>
      <c r="AE292" s="135">
        <f t="shared" si="184"/>
        <v>3.7053470533447735E-4</v>
      </c>
      <c r="AF292" s="135">
        <f t="shared" si="185"/>
        <v>3.7053470533447735E-4</v>
      </c>
    </row>
    <row r="293" spans="2:32" s="141" customFormat="1">
      <c r="B293" s="163"/>
      <c r="C293" s="319">
        <f t="shared" si="186"/>
        <v>436515.83224016725</v>
      </c>
      <c r="D293" s="319">
        <f t="shared" si="186"/>
        <v>2742709.8634826881</v>
      </c>
      <c r="E293" s="319" t="str">
        <f t="shared" si="186"/>
        <v>2742709.86348269i</v>
      </c>
      <c r="F293" s="153"/>
      <c r="G293" s="320">
        <f t="shared" si="168"/>
        <v>-7.7575087427088872E-4</v>
      </c>
      <c r="H293" s="153">
        <f t="shared" si="169"/>
        <v>2.7427098634826884E-3</v>
      </c>
      <c r="I293" s="320">
        <f t="shared" si="170"/>
        <v>1.9669589892117997E-3</v>
      </c>
      <c r="J293" s="153"/>
      <c r="K293" s="153" t="str">
        <f t="shared" si="171"/>
        <v>0.006+0.0019669589892118i</v>
      </c>
      <c r="L293" s="153"/>
      <c r="M293" s="153">
        <f t="shared" si="172"/>
        <v>-1.2431905036392446E-3</v>
      </c>
      <c r="N293" s="153">
        <f t="shared" si="173"/>
        <v>2.2855915529022399E-4</v>
      </c>
      <c r="O293" s="153">
        <f t="shared" si="174"/>
        <v>-1.0146313483490206E-3</v>
      </c>
      <c r="P293" s="153"/>
      <c r="Q293" s="153" t="str">
        <f t="shared" si="175"/>
        <v>0.00025-0.00101463134834902i</v>
      </c>
      <c r="R293" s="153"/>
      <c r="S293" s="153" t="str">
        <f t="shared" si="176"/>
        <v>3.49573825137119E-06-5.59604834279117E-06i</v>
      </c>
      <c r="T293" s="153" t="str">
        <f t="shared" si="177"/>
        <v>0.00625+0.00095232764086278i</v>
      </c>
      <c r="U293" s="153" t="str">
        <f t="shared" si="178"/>
        <v>0.000413293194520116-0.000958342220114105i</v>
      </c>
      <c r="V293" s="321"/>
      <c r="W293" s="135"/>
      <c r="X293" s="135"/>
      <c r="Y293" s="135">
        <f t="shared" si="179"/>
        <v>1.0436623378707664E-3</v>
      </c>
      <c r="Z293" s="135">
        <f t="shared" si="180"/>
        <v>-1.1636366685359656</v>
      </c>
      <c r="AA293" s="135">
        <f t="shared" si="181"/>
        <v>-66.671469993774352</v>
      </c>
      <c r="AB293" s="135"/>
      <c r="AC293" s="135">
        <f t="shared" si="182"/>
        <v>4.132931945201159E-4</v>
      </c>
      <c r="AD293" s="135">
        <f t="shared" si="183"/>
        <v>-9.5834222011410483E-4</v>
      </c>
      <c r="AE293" s="135">
        <f t="shared" si="184"/>
        <v>3.8045168339124861E-4</v>
      </c>
      <c r="AF293" s="135">
        <f t="shared" si="185"/>
        <v>3.8045168339124861E-4</v>
      </c>
    </row>
    <row r="294" spans="2:32" s="141" customFormat="1">
      <c r="B294" s="163"/>
      <c r="C294" s="319">
        <f t="shared" si="186"/>
        <v>478630.0923226396</v>
      </c>
      <c r="D294" s="319">
        <f t="shared" si="186"/>
        <v>3007321.5636556181</v>
      </c>
      <c r="E294" s="319" t="str">
        <f t="shared" si="186"/>
        <v>3007321.56365562i</v>
      </c>
      <c r="F294" s="153"/>
      <c r="G294" s="320">
        <f t="shared" si="168"/>
        <v>-7.0749320597487421E-4</v>
      </c>
      <c r="H294" s="153">
        <f t="shared" si="169"/>
        <v>3.0073215636556181E-3</v>
      </c>
      <c r="I294" s="320">
        <f t="shared" si="170"/>
        <v>2.2998283576807438E-3</v>
      </c>
      <c r="J294" s="153"/>
      <c r="K294" s="153" t="str">
        <f t="shared" si="171"/>
        <v>0.006+0.00229982835768074i</v>
      </c>
      <c r="L294" s="153"/>
      <c r="M294" s="153">
        <f t="shared" si="172"/>
        <v>-1.133803214703324E-3</v>
      </c>
      <c r="N294" s="153">
        <f t="shared" si="173"/>
        <v>2.5061013030463483E-4</v>
      </c>
      <c r="O294" s="153">
        <f t="shared" si="174"/>
        <v>-8.8319308439868921E-4</v>
      </c>
      <c r="P294" s="153"/>
      <c r="Q294" s="153" t="str">
        <f t="shared" si="175"/>
        <v>0.00025-0.000883193084398689i</v>
      </c>
      <c r="R294" s="153"/>
      <c r="S294" s="153" t="str">
        <f t="shared" si="176"/>
        <v>3.53119250080762E-06-4.72420141697195E-06i</v>
      </c>
      <c r="T294" s="153" t="str">
        <f t="shared" si="177"/>
        <v>0.00625+0.00141663527328205i</v>
      </c>
      <c r="U294" s="153" t="str">
        <f t="shared" si="178"/>
        <v>0.000374427175162503-0.000840740505693201i</v>
      </c>
      <c r="V294" s="321"/>
      <c r="W294" s="135"/>
      <c r="X294" s="135"/>
      <c r="Y294" s="135">
        <f t="shared" si="179"/>
        <v>9.2034792736955253E-4</v>
      </c>
      <c r="Z294" s="135">
        <f t="shared" si="180"/>
        <v>-1.1518127001108602</v>
      </c>
      <c r="AA294" s="135">
        <f t="shared" si="181"/>
        <v>-65.994006505919856</v>
      </c>
      <c r="AB294" s="135"/>
      <c r="AC294" s="135">
        <f t="shared" si="182"/>
        <v>3.7442717516250303E-4</v>
      </c>
      <c r="AD294" s="135">
        <f t="shared" si="183"/>
        <v>-8.4074050569320105E-4</v>
      </c>
      <c r="AE294" s="135">
        <f t="shared" si="184"/>
        <v>3.9551062968474739E-4</v>
      </c>
      <c r="AF294" s="135">
        <f t="shared" si="185"/>
        <v>3.9551062968474739E-4</v>
      </c>
    </row>
    <row r="295" spans="2:32" s="141" customFormat="1">
      <c r="B295" s="163"/>
      <c r="C295" s="319">
        <f t="shared" si="186"/>
        <v>524807.46024977381</v>
      </c>
      <c r="D295" s="319">
        <f t="shared" si="186"/>
        <v>3297462.5233396133</v>
      </c>
      <c r="E295" s="319" t="str">
        <f t="shared" si="186"/>
        <v>3297462.52333961i</v>
      </c>
      <c r="F295" s="153"/>
      <c r="G295" s="320">
        <f t="shared" si="168"/>
        <v>-6.4524147261974885E-4</v>
      </c>
      <c r="H295" s="153">
        <f t="shared" si="169"/>
        <v>3.2974625233396135E-3</v>
      </c>
      <c r="I295" s="320">
        <f t="shared" si="170"/>
        <v>2.6522210507198647E-3</v>
      </c>
      <c r="J295" s="153"/>
      <c r="K295" s="153" t="str">
        <f t="shared" si="171"/>
        <v>0.006+0.00265222105071986i</v>
      </c>
      <c r="L295" s="153"/>
      <c r="M295" s="153">
        <f t="shared" si="172"/>
        <v>-1.0340408215060077E-3</v>
      </c>
      <c r="N295" s="153">
        <f t="shared" si="173"/>
        <v>2.7478854361163443E-4</v>
      </c>
      <c r="O295" s="153">
        <f t="shared" si="174"/>
        <v>-7.5925227789437329E-4</v>
      </c>
      <c r="P295" s="153"/>
      <c r="Q295" s="153" t="str">
        <f t="shared" si="175"/>
        <v>0.00025-0.000759252277894373i</v>
      </c>
      <c r="R295" s="153"/>
      <c r="S295" s="153" t="str">
        <f t="shared" si="176"/>
        <v>3.51370487423846E-06-3.89245840468627E-06i</v>
      </c>
      <c r="T295" s="153" t="str">
        <f t="shared" si="177"/>
        <v>0.00625+0.00189296877282549i</v>
      </c>
      <c r="U295" s="153" t="str">
        <f t="shared" si="178"/>
        <v>0.000342175377739114-0.000726429713532189i</v>
      </c>
      <c r="V295" s="321"/>
      <c r="W295" s="135"/>
      <c r="X295" s="135"/>
      <c r="Y295" s="135">
        <f t="shared" si="179"/>
        <v>8.0298450659608829E-4</v>
      </c>
      <c r="Z295" s="135">
        <f t="shared" si="180"/>
        <v>-1.1305862872084669</v>
      </c>
      <c r="AA295" s="135">
        <f t="shared" si="181"/>
        <v>-64.77782263241069</v>
      </c>
      <c r="AB295" s="135"/>
      <c r="AC295" s="135">
        <f t="shared" si="182"/>
        <v>3.4217537773911403E-4</v>
      </c>
      <c r="AD295" s="135">
        <f t="shared" si="183"/>
        <v>-7.2642971353218885E-4</v>
      </c>
      <c r="AE295" s="135">
        <f t="shared" si="184"/>
        <v>4.1747121088521396E-4</v>
      </c>
      <c r="AF295" s="135">
        <f t="shared" si="185"/>
        <v>4.1747121088521396E-4</v>
      </c>
    </row>
    <row r="296" spans="2:32" s="141" customFormat="1">
      <c r="B296" s="163"/>
      <c r="C296" s="319">
        <f t="shared" si="186"/>
        <v>575439.93733715895</v>
      </c>
      <c r="D296" s="319">
        <f t="shared" si="186"/>
        <v>3615595.7594411788</v>
      </c>
      <c r="E296" s="319" t="str">
        <f t="shared" si="186"/>
        <v>3615595.75944118i</v>
      </c>
      <c r="F296" s="153"/>
      <c r="G296" s="320">
        <f t="shared" si="168"/>
        <v>-5.8846721703117966E-4</v>
      </c>
      <c r="H296" s="153">
        <f t="shared" si="169"/>
        <v>3.6155957594411789E-3</v>
      </c>
      <c r="I296" s="320">
        <f t="shared" si="170"/>
        <v>3.0271285424099993E-3</v>
      </c>
      <c r="J296" s="153"/>
      <c r="K296" s="153" t="str">
        <f t="shared" si="171"/>
        <v>0.006+0.00302712854241i</v>
      </c>
      <c r="L296" s="153"/>
      <c r="M296" s="153">
        <f t="shared" si="172"/>
        <v>-9.4305643754996735E-4</v>
      </c>
      <c r="N296" s="153">
        <f t="shared" si="173"/>
        <v>3.0129964662009822E-4</v>
      </c>
      <c r="O296" s="153">
        <f t="shared" si="174"/>
        <v>-6.4175679092986918E-4</v>
      </c>
      <c r="P296" s="153"/>
      <c r="Q296" s="153" t="str">
        <f t="shared" si="175"/>
        <v>0.00025-0.000641756790929869i</v>
      </c>
      <c r="R296" s="153"/>
      <c r="S296" s="153" t="str">
        <f t="shared" si="176"/>
        <v>3.44268029910925E-06-3.09375860997671E-06i</v>
      </c>
      <c r="T296" s="153" t="str">
        <f t="shared" si="177"/>
        <v>0.00625+0.00238537175148013i</v>
      </c>
      <c r="U296" s="153" t="str">
        <f t="shared" si="178"/>
        <v>0.000315892698352305-0.000615564820660021i</v>
      </c>
      <c r="V296" s="321"/>
      <c r="W296" s="135"/>
      <c r="X296" s="135"/>
      <c r="Y296" s="135">
        <f t="shared" si="179"/>
        <v>6.918874513289746E-4</v>
      </c>
      <c r="Z296" s="135">
        <f t="shared" si="180"/>
        <v>-1.0966640717355387</v>
      </c>
      <c r="AA296" s="135">
        <f t="shared" si="181"/>
        <v>-62.834222854078526</v>
      </c>
      <c r="AB296" s="135"/>
      <c r="AC296" s="135">
        <f t="shared" si="182"/>
        <v>3.1589269835230498E-4</v>
      </c>
      <c r="AD296" s="135">
        <f t="shared" si="183"/>
        <v>-6.1556482066002104E-4</v>
      </c>
      <c r="AE296" s="135">
        <f t="shared" si="184"/>
        <v>4.4931026387781589E-4</v>
      </c>
      <c r="AF296" s="135">
        <f t="shared" si="185"/>
        <v>4.4931026387781589E-4</v>
      </c>
    </row>
    <row r="297" spans="2:32" s="141" customFormat="1">
      <c r="B297" s="163"/>
      <c r="C297" s="319">
        <f t="shared" si="186"/>
        <v>630957.34448019532</v>
      </c>
      <c r="D297" s="319">
        <f t="shared" si="186"/>
        <v>3964421.916295012</v>
      </c>
      <c r="E297" s="319" t="str">
        <f t="shared" si="186"/>
        <v>3964421.91629501i</v>
      </c>
      <c r="F297" s="153"/>
      <c r="G297" s="320">
        <f t="shared" si="168"/>
        <v>-5.3668848053804263E-4</v>
      </c>
      <c r="H297" s="153">
        <f t="shared" si="169"/>
        <v>3.9644219162950122E-3</v>
      </c>
      <c r="I297" s="320">
        <f t="shared" si="170"/>
        <v>3.4277334357569697E-3</v>
      </c>
      <c r="J297" s="153"/>
      <c r="K297" s="153" t="str">
        <f t="shared" si="171"/>
        <v>0.006+0.00342773343575697i</v>
      </c>
      <c r="L297" s="153"/>
      <c r="M297" s="153">
        <f t="shared" si="172"/>
        <v>-8.6007769316993996E-4</v>
      </c>
      <c r="N297" s="153">
        <f t="shared" si="173"/>
        <v>3.3036849302458431E-4</v>
      </c>
      <c r="O297" s="153">
        <f t="shared" si="174"/>
        <v>-5.2970920014535564E-4</v>
      </c>
      <c r="P297" s="153"/>
      <c r="Q297" s="153" t="str">
        <f t="shared" si="175"/>
        <v>0.00025-0.000529709200145356i</v>
      </c>
      <c r="R297" s="153"/>
      <c r="S297" s="153" t="str">
        <f t="shared" si="176"/>
        <v>3.31570193656632E-06-2.32132184193289E-06i</v>
      </c>
      <c r="T297" s="153" t="str">
        <f t="shared" si="177"/>
        <v>0.00625+0.00289802423561161i</v>
      </c>
      <c r="U297" s="153" t="str">
        <f t="shared" si="178"/>
        <v>0.00029489216478903-0.000508148237181355i</v>
      </c>
      <c r="V297" s="321"/>
      <c r="W297" s="135"/>
      <c r="X297" s="135"/>
      <c r="Y297" s="135">
        <f t="shared" si="179"/>
        <v>5.8751682512459089E-4</v>
      </c>
      <c r="Z297" s="135">
        <f t="shared" si="180"/>
        <v>-1.0449678472578494</v>
      </c>
      <c r="AA297" s="135">
        <f t="shared" si="181"/>
        <v>-59.872247374746031</v>
      </c>
      <c r="AB297" s="135"/>
      <c r="AC297" s="135">
        <f t="shared" si="182"/>
        <v>2.9489216478903002E-4</v>
      </c>
      <c r="AD297" s="135">
        <f t="shared" si="183"/>
        <v>-5.0814823718135511E-4</v>
      </c>
      <c r="AE297" s="135">
        <f t="shared" si="184"/>
        <v>4.9639764028711129E-4</v>
      </c>
      <c r="AF297" s="135">
        <f t="shared" si="185"/>
        <v>4.9639764028711129E-4</v>
      </c>
    </row>
    <row r="298" spans="2:32" s="141" customFormat="1">
      <c r="B298" s="163"/>
      <c r="C298" s="319">
        <f t="shared" si="186"/>
        <v>691830.9709189384</v>
      </c>
      <c r="D298" s="319">
        <f t="shared" si="186"/>
        <v>4346902.1915296614</v>
      </c>
      <c r="E298" s="319" t="str">
        <f t="shared" si="186"/>
        <v>4346902.19152966i</v>
      </c>
      <c r="F298" s="153"/>
      <c r="G298" s="320">
        <f t="shared" si="168"/>
        <v>-4.8946571160814829E-4</v>
      </c>
      <c r="H298" s="153">
        <f t="shared" si="169"/>
        <v>4.3469021915296616E-3</v>
      </c>
      <c r="I298" s="320">
        <f t="shared" si="170"/>
        <v>3.8574364799215132E-3</v>
      </c>
      <c r="J298" s="153"/>
      <c r="K298" s="153" t="str">
        <f t="shared" si="171"/>
        <v>0.006+0.00385743647992151i</v>
      </c>
      <c r="L298" s="153"/>
      <c r="M298" s="153">
        <f t="shared" si="172"/>
        <v>-7.8440017885921193E-4</v>
      </c>
      <c r="N298" s="153">
        <f t="shared" si="173"/>
        <v>3.6224184929413845E-4</v>
      </c>
      <c r="O298" s="153">
        <f t="shared" si="174"/>
        <v>-4.2215832956507348E-4</v>
      </c>
      <c r="P298" s="153"/>
      <c r="Q298" s="153" t="str">
        <f t="shared" si="175"/>
        <v>0.00025-0.000422158329565073i</v>
      </c>
      <c r="R298" s="153"/>
      <c r="S298" s="153" t="str">
        <f t="shared" si="176"/>
        <v>3.12844894076704E-06-1.56859085741006E-06i</v>
      </c>
      <c r="T298" s="153" t="str">
        <f t="shared" si="177"/>
        <v>0.00625+0.00343527815035644i</v>
      </c>
      <c r="U298" s="153" t="str">
        <f t="shared" si="178"/>
        <v>0.000278475176032451-0.00040403688720816i</v>
      </c>
      <c r="V298" s="321"/>
      <c r="W298" s="135"/>
      <c r="X298" s="135"/>
      <c r="Y298" s="135">
        <f t="shared" si="179"/>
        <v>4.9070788651820547E-4</v>
      </c>
      <c r="Z298" s="135">
        <f t="shared" si="180"/>
        <v>-0.96733378471315901</v>
      </c>
      <c r="AA298" s="135">
        <f t="shared" si="181"/>
        <v>-55.424143244480604</v>
      </c>
      <c r="AB298" s="135"/>
      <c r="AC298" s="135">
        <f t="shared" si="182"/>
        <v>2.7847517603245102E-4</v>
      </c>
      <c r="AD298" s="135">
        <f t="shared" si="183"/>
        <v>-4.0403688720816005E-4</v>
      </c>
      <c r="AE298" s="135">
        <f t="shared" si="184"/>
        <v>5.6937594496739199E-4</v>
      </c>
      <c r="AF298" s="135">
        <f t="shared" si="185"/>
        <v>5.6937594496739199E-4</v>
      </c>
    </row>
    <row r="299" spans="2:32" s="141" customFormat="1">
      <c r="B299" s="163"/>
      <c r="C299" s="319">
        <f t="shared" si="186"/>
        <v>758577.57502918562</v>
      </c>
      <c r="D299" s="319">
        <f t="shared" si="186"/>
        <v>4766283.4737792993</v>
      </c>
      <c r="E299" s="319" t="str">
        <f t="shared" si="186"/>
        <v>4766283.4737793i</v>
      </c>
      <c r="F299" s="153"/>
      <c r="G299" s="320">
        <f t="shared" si="168"/>
        <v>-4.4639803447968509E-4</v>
      </c>
      <c r="H299" s="153">
        <f t="shared" si="169"/>
        <v>4.7662834737792993E-3</v>
      </c>
      <c r="I299" s="320">
        <f t="shared" si="170"/>
        <v>4.3198854392996139E-3</v>
      </c>
      <c r="J299" s="153"/>
      <c r="K299" s="153" t="str">
        <f t="shared" si="171"/>
        <v>0.006+0.00431988543929961i</v>
      </c>
      <c r="L299" s="153"/>
      <c r="M299" s="153">
        <f t="shared" si="172"/>
        <v>-7.1538146551231583E-4</v>
      </c>
      <c r="N299" s="153">
        <f t="shared" si="173"/>
        <v>3.9719028948160824E-4</v>
      </c>
      <c r="O299" s="153">
        <f t="shared" si="174"/>
        <v>-3.1819117603070759E-4</v>
      </c>
      <c r="P299" s="153"/>
      <c r="Q299" s="153" t="str">
        <f t="shared" si="175"/>
        <v>0.00025-0.000318191176030708i</v>
      </c>
      <c r="R299" s="153"/>
      <c r="S299" s="153" t="str">
        <f t="shared" si="176"/>
        <v>2.87454942824867E-06-8.29175696359346E-07i</v>
      </c>
      <c r="T299" s="153" t="str">
        <f t="shared" si="177"/>
        <v>0.00625+0.0040016942632689i</v>
      </c>
      <c r="U299" s="153" t="str">
        <f t="shared" si="178"/>
        <v>0.000265956335715778-0.000302952262283711i</v>
      </c>
      <c r="V299" s="321"/>
      <c r="W299" s="135"/>
      <c r="X299" s="135"/>
      <c r="Y299" s="135">
        <f t="shared" si="179"/>
        <v>4.031288202673955E-4</v>
      </c>
      <c r="Z299" s="135">
        <f t="shared" si="180"/>
        <v>-0.85033637751641211</v>
      </c>
      <c r="AA299" s="135">
        <f t="shared" si="181"/>
        <v>-48.720685598133478</v>
      </c>
      <c r="AB299" s="135"/>
      <c r="AC299" s="135">
        <f t="shared" si="182"/>
        <v>2.6595633571577801E-4</v>
      </c>
      <c r="AD299" s="135">
        <f t="shared" si="183"/>
        <v>-3.0295226228371102E-4</v>
      </c>
      <c r="AE299" s="135">
        <f t="shared" si="184"/>
        <v>6.9254170483457327E-4</v>
      </c>
      <c r="AF299" s="135">
        <f t="shared" si="185"/>
        <v>6.9254170483457327E-4</v>
      </c>
    </row>
    <row r="300" spans="2:32" s="141" customFormat="1">
      <c r="B300" s="163"/>
      <c r="C300" s="319">
        <f t="shared" ref="C300:E319" si="187">C150</f>
        <v>831763.77110267419</v>
      </c>
      <c r="D300" s="319">
        <f t="shared" si="187"/>
        <v>5226125.9056366067</v>
      </c>
      <c r="E300" s="319" t="str">
        <f t="shared" si="187"/>
        <v>5226125.90563661i</v>
      </c>
      <c r="F300" s="153"/>
      <c r="G300" s="320">
        <f t="shared" si="168"/>
        <v>-4.0711984611264545E-4</v>
      </c>
      <c r="H300" s="153">
        <f t="shared" si="169"/>
        <v>5.2261259056366072E-3</v>
      </c>
      <c r="I300" s="320">
        <f t="shared" si="170"/>
        <v>4.819006059523962E-3</v>
      </c>
      <c r="J300" s="153"/>
      <c r="K300" s="153" t="str">
        <f t="shared" si="171"/>
        <v>0.006+0.00481900605952396i</v>
      </c>
      <c r="L300" s="153"/>
      <c r="M300" s="153">
        <f t="shared" si="172"/>
        <v>-6.5243565082154708E-4</v>
      </c>
      <c r="N300" s="153">
        <f t="shared" si="173"/>
        <v>4.355104921363839E-4</v>
      </c>
      <c r="O300" s="153">
        <f t="shared" si="174"/>
        <v>-2.1692515868516318E-4</v>
      </c>
      <c r="P300" s="153"/>
      <c r="Q300" s="153" t="str">
        <f t="shared" si="175"/>
        <v>0.00025-0.000216925158685163i</v>
      </c>
      <c r="R300" s="153"/>
      <c r="S300" s="153" t="str">
        <f t="shared" si="176"/>
        <v>0.000002545363654167-9.67994372299879E-08i</v>
      </c>
      <c r="T300" s="153" t="str">
        <f t="shared" si="177"/>
        <v>0.00625+0.0046020809008388i</v>
      </c>
      <c r="U300" s="153" t="str">
        <f t="shared" si="178"/>
        <v>0.000256683612617301-0.0002044925101463i</v>
      </c>
      <c r="V300" s="321"/>
      <c r="W300" s="135"/>
      <c r="X300" s="135"/>
      <c r="Y300" s="135">
        <f t="shared" si="179"/>
        <v>3.2818236346915912E-4</v>
      </c>
      <c r="Z300" s="135">
        <f t="shared" si="180"/>
        <v>-0.67270805080026619</v>
      </c>
      <c r="AA300" s="135">
        <f t="shared" si="181"/>
        <v>-38.543332155327434</v>
      </c>
      <c r="AB300" s="135"/>
      <c r="AC300" s="135">
        <f t="shared" si="182"/>
        <v>2.5668361261730103E-4</v>
      </c>
      <c r="AD300" s="135">
        <f t="shared" si="183"/>
        <v>-2.0449251014630001E-4</v>
      </c>
      <c r="AE300" s="135">
        <f t="shared" si="184"/>
        <v>9.3571313460844377E-4</v>
      </c>
      <c r="AF300" s="135">
        <f t="shared" si="185"/>
        <v>9.3571313460844377E-4</v>
      </c>
    </row>
    <row r="301" spans="2:32" s="141" customFormat="1">
      <c r="B301" s="163"/>
      <c r="C301" s="319">
        <f t="shared" si="187"/>
        <v>912010.83935591287</v>
      </c>
      <c r="D301" s="319">
        <f t="shared" si="187"/>
        <v>5730333.1058295937</v>
      </c>
      <c r="E301" s="319" t="str">
        <f t="shared" si="187"/>
        <v>5730333.10582959i</v>
      </c>
      <c r="F301" s="153"/>
      <c r="G301" s="320">
        <f t="shared" si="168"/>
        <v>-3.7129771257164273E-4</v>
      </c>
      <c r="H301" s="153">
        <f t="shared" si="169"/>
        <v>5.730333105829594E-3</v>
      </c>
      <c r="I301" s="320">
        <f t="shared" si="170"/>
        <v>5.3590353932579512E-3</v>
      </c>
      <c r="J301" s="153"/>
      <c r="K301" s="153" t="str">
        <f t="shared" si="171"/>
        <v>0.006+0.00535903539325795i</v>
      </c>
      <c r="L301" s="153"/>
      <c r="M301" s="153">
        <f t="shared" si="172"/>
        <v>-5.9502838553147864E-4</v>
      </c>
      <c r="N301" s="153">
        <f t="shared" si="173"/>
        <v>4.775277588191328E-4</v>
      </c>
      <c r="O301" s="153">
        <f t="shared" si="174"/>
        <v>-1.1750062671234585E-4</v>
      </c>
      <c r="P301" s="153"/>
      <c r="Q301" s="153" t="str">
        <f t="shared" si="175"/>
        <v>0.00025-0.000117500626712346i</v>
      </c>
      <c r="R301" s="153"/>
      <c r="S301" s="153" t="str">
        <f t="shared" si="176"/>
        <v>2.12969001728145E-06+6.34755088040411E-07i</v>
      </c>
      <c r="T301" s="153" t="str">
        <f t="shared" si="177"/>
        <v>0.00625+0.0052415347665456i</v>
      </c>
      <c r="U301" s="153" t="str">
        <f t="shared" si="178"/>
        <v>0.000250054207990665-0.00010814603786619i</v>
      </c>
      <c r="V301" s="321"/>
      <c r="W301" s="135"/>
      <c r="X301" s="135"/>
      <c r="Y301" s="135">
        <f t="shared" si="179"/>
        <v>2.7243838283177746E-4</v>
      </c>
      <c r="Z301" s="135">
        <f t="shared" si="180"/>
        <v>-0.40819791603786532</v>
      </c>
      <c r="AA301" s="135">
        <f t="shared" si="181"/>
        <v>-23.388017795005219</v>
      </c>
      <c r="AB301" s="135"/>
      <c r="AC301" s="135">
        <f t="shared" si="182"/>
        <v>2.5005420799066494E-4</v>
      </c>
      <c r="AD301" s="135">
        <f t="shared" si="183"/>
        <v>-1.0814603786618999E-4</v>
      </c>
      <c r="AE301" s="135">
        <f t="shared" si="184"/>
        <v>1.6136506556494903E-3</v>
      </c>
      <c r="AF301" s="135">
        <f t="shared" si="185"/>
        <v>1.6136506556494903E-3</v>
      </c>
    </row>
    <row r="302" spans="2:32" s="141" customFormat="1">
      <c r="B302" s="163"/>
      <c r="C302" s="319">
        <f t="shared" si="187"/>
        <v>1000000.000000003</v>
      </c>
      <c r="D302" s="319">
        <f t="shared" si="187"/>
        <v>6283185.3071796056</v>
      </c>
      <c r="E302" s="319" t="str">
        <f t="shared" si="187"/>
        <v>6283185.30717961i</v>
      </c>
      <c r="F302" s="153"/>
      <c r="G302" s="320">
        <f t="shared" si="168"/>
        <v>-3.386275384933933E-4</v>
      </c>
      <c r="H302" s="153">
        <f t="shared" si="169"/>
        <v>6.2831853071796057E-3</v>
      </c>
      <c r="I302" s="320">
        <f t="shared" si="170"/>
        <v>5.9445577686862124E-3</v>
      </c>
      <c r="J302" s="153"/>
      <c r="K302" s="153" t="str">
        <f t="shared" si="171"/>
        <v>0.006+0.00594455776868621i</v>
      </c>
      <c r="L302" s="153"/>
      <c r="M302" s="153">
        <f t="shared" si="172"/>
        <v>-5.4267233732915583E-4</v>
      </c>
      <c r="N302" s="153">
        <f t="shared" si="173"/>
        <v>5.2359877559830044E-4</v>
      </c>
      <c r="O302" s="153">
        <f t="shared" si="174"/>
        <v>-1.9073561730855392E-5</v>
      </c>
      <c r="P302" s="153"/>
      <c r="Q302" s="153" t="str">
        <f t="shared" si="175"/>
        <v>0.00025-0.0000190735617308554i</v>
      </c>
      <c r="R302" s="153"/>
      <c r="S302" s="153" t="str">
        <f t="shared" si="176"/>
        <v>1.61338388956367E-06+1.37169807178642E-06i</v>
      </c>
      <c r="T302" s="153" t="str">
        <f t="shared" si="177"/>
        <v>0.00625+0.00592548420695535i</v>
      </c>
      <c r="U302" s="153" t="str">
        <f t="shared" si="178"/>
        <v>0.00024552617071493-0.0000133061400286594i</v>
      </c>
      <c r="V302" s="321"/>
      <c r="W302" s="135"/>
      <c r="X302" s="135"/>
      <c r="Y302" s="135">
        <f t="shared" si="179"/>
        <v>2.4588646540303773E-4</v>
      </c>
      <c r="Z302" s="135">
        <f t="shared" si="180"/>
        <v>-5.4141422266540347E-2</v>
      </c>
      <c r="AA302" s="135">
        <f t="shared" si="181"/>
        <v>-3.1020749927083813</v>
      </c>
      <c r="AB302" s="135"/>
      <c r="AC302" s="135">
        <f t="shared" si="182"/>
        <v>2.4552617071493007E-4</v>
      </c>
      <c r="AD302" s="135">
        <f t="shared" si="183"/>
        <v>-1.3306140028659399E-5</v>
      </c>
      <c r="AE302" s="135">
        <f t="shared" si="184"/>
        <v>1.196101519667607E-2</v>
      </c>
      <c r="AF302" s="135">
        <f t="shared" si="185"/>
        <v>1.196101519667607E-2</v>
      </c>
    </row>
    <row r="303" spans="2:32" s="141" customFormat="1">
      <c r="B303" s="163"/>
      <c r="C303" s="319">
        <f t="shared" si="187"/>
        <v>1096478.196143186</v>
      </c>
      <c r="D303" s="319">
        <f t="shared" si="187"/>
        <v>6889375.6916496428</v>
      </c>
      <c r="E303" s="319" t="str">
        <f t="shared" si="187"/>
        <v>6889375.69164964i</v>
      </c>
      <c r="F303" s="153"/>
      <c r="G303" s="320">
        <f t="shared" si="168"/>
        <v>-3.0883198561038592E-4</v>
      </c>
      <c r="H303" s="153">
        <f t="shared" si="169"/>
        <v>6.8893756916496435E-3</v>
      </c>
      <c r="I303" s="320">
        <f t="shared" si="170"/>
        <v>6.5805437060392578E-3</v>
      </c>
      <c r="J303" s="153"/>
      <c r="K303" s="153" t="str">
        <f t="shared" si="171"/>
        <v>0.006+0.00658054370603926i</v>
      </c>
      <c r="L303" s="153"/>
      <c r="M303" s="153">
        <f t="shared" si="172"/>
        <v>-4.9492305386279788E-4</v>
      </c>
      <c r="N303" s="153">
        <f t="shared" si="173"/>
        <v>5.7411464097080359E-4</v>
      </c>
      <c r="O303" s="153">
        <f t="shared" si="174"/>
        <v>7.9191587108005707E-5</v>
      </c>
      <c r="P303" s="153"/>
      <c r="Q303" s="153" t="str">
        <f t="shared" si="175"/>
        <v>0.00025+0.0000791915871080057i</v>
      </c>
      <c r="R303" s="153"/>
      <c r="S303" s="153" t="str">
        <f t="shared" si="176"/>
        <v>9.78876299885153E-07+2.12028544915785E-06i</v>
      </c>
      <c r="T303" s="153" t="str">
        <f t="shared" si="177"/>
        <v>0.00625+0.00665973529314727i</v>
      </c>
      <c r="U303" s="153" t="str">
        <f t="shared" si="178"/>
        <v>0.000242625667178693+0.0000807140368679205i</v>
      </c>
      <c r="V303" s="321"/>
      <c r="W303" s="135"/>
      <c r="X303" s="135"/>
      <c r="Y303" s="135">
        <f t="shared" si="179"/>
        <v>2.5569898341882771E-4</v>
      </c>
      <c r="Z303" s="135">
        <f t="shared" si="180"/>
        <v>0.3211525308045915</v>
      </c>
      <c r="AA303" s="135">
        <f t="shared" si="181"/>
        <v>18.400684595048254</v>
      </c>
      <c r="AB303" s="135"/>
      <c r="AC303" s="135">
        <f t="shared" si="182"/>
        <v>2.4262566717869299E-4</v>
      </c>
      <c r="AD303" s="135">
        <f t="shared" si="183"/>
        <v>8.0714036867920487E-5</v>
      </c>
      <c r="AE303" s="135">
        <f t="shared" si="184"/>
        <v>-1.7983369296025282E-3</v>
      </c>
      <c r="AF303" s="135">
        <f t="shared" si="185"/>
        <v>1.7983369296025282E-3</v>
      </c>
    </row>
    <row r="304" spans="2:32" s="141" customFormat="1">
      <c r="B304" s="163"/>
      <c r="C304" s="319">
        <f t="shared" si="187"/>
        <v>1202264.4346174158</v>
      </c>
      <c r="D304" s="319">
        <f t="shared" si="187"/>
        <v>7554050.2309327191</v>
      </c>
      <c r="E304" s="319" t="str">
        <f t="shared" si="187"/>
        <v>7554050.23093272i</v>
      </c>
      <c r="F304" s="153"/>
      <c r="G304" s="320">
        <f t="shared" si="168"/>
        <v>-2.8165811841647992E-4</v>
      </c>
      <c r="H304" s="153">
        <f t="shared" si="169"/>
        <v>7.5540502309327196E-3</v>
      </c>
      <c r="I304" s="320">
        <f t="shared" si="170"/>
        <v>7.2723921125162402E-3</v>
      </c>
      <c r="J304" s="153"/>
      <c r="K304" s="153" t="str">
        <f t="shared" si="171"/>
        <v>0.006+0.00727239211251624i</v>
      </c>
      <c r="L304" s="153"/>
      <c r="M304" s="153">
        <f t="shared" si="172"/>
        <v>-4.513751897699998E-4</v>
      </c>
      <c r="N304" s="153">
        <f t="shared" si="173"/>
        <v>6.295041859110599E-4</v>
      </c>
      <c r="O304" s="153">
        <f t="shared" si="174"/>
        <v>1.781289961410601E-4</v>
      </c>
      <c r="P304" s="153"/>
      <c r="Q304" s="153" t="str">
        <f t="shared" si="175"/>
        <v>0.00025+0.00017812899614106i</v>
      </c>
      <c r="R304" s="153"/>
      <c r="S304" s="153" t="str">
        <f t="shared" si="176"/>
        <v>2.0457609345332E-07+2.88687200497542E-06i</v>
      </c>
      <c r="T304" s="153" t="str">
        <f t="shared" si="177"/>
        <v>0.00625+0.0074505211086573i</v>
      </c>
      <c r="U304" s="153" t="str">
        <f t="shared" si="178"/>
        <v>0.00024094993358407+0.000174667110188437i</v>
      </c>
      <c r="V304" s="321"/>
      <c r="W304" s="135"/>
      <c r="X304" s="135"/>
      <c r="Y304" s="135">
        <f t="shared" si="179"/>
        <v>2.975995125596602E-4</v>
      </c>
      <c r="Z304" s="135">
        <f t="shared" si="180"/>
        <v>0.62724945281985067</v>
      </c>
      <c r="AA304" s="135">
        <f t="shared" si="181"/>
        <v>35.938746348467696</v>
      </c>
      <c r="AB304" s="135"/>
      <c r="AC304" s="135">
        <f t="shared" si="182"/>
        <v>2.4094993358407001E-4</v>
      </c>
      <c r="AD304" s="135">
        <f t="shared" si="183"/>
        <v>1.7466711018843703E-4</v>
      </c>
      <c r="AE304" s="135">
        <f t="shared" si="184"/>
        <v>-7.5789492087508675E-4</v>
      </c>
      <c r="AF304" s="135">
        <f t="shared" si="185"/>
        <v>7.5789492087508675E-4</v>
      </c>
    </row>
    <row r="305" spans="2:32" s="141" customFormat="1">
      <c r="B305" s="163"/>
      <c r="C305" s="319">
        <f t="shared" si="187"/>
        <v>1318256.7385564097</v>
      </c>
      <c r="D305" s="319">
        <f t="shared" si="187"/>
        <v>8282851.3707881151</v>
      </c>
      <c r="E305" s="319" t="str">
        <f t="shared" si="187"/>
        <v>8282851.37078812i</v>
      </c>
      <c r="F305" s="153"/>
      <c r="G305" s="320">
        <f t="shared" si="168"/>
        <v>-2.5687525698842018E-4</v>
      </c>
      <c r="H305" s="153">
        <f t="shared" si="169"/>
        <v>8.2828513707881163E-3</v>
      </c>
      <c r="I305" s="320">
        <f t="shared" si="170"/>
        <v>8.025976113799696E-3</v>
      </c>
      <c r="J305" s="153"/>
      <c r="K305" s="153" t="str">
        <f t="shared" si="171"/>
        <v>0.006+0.0080259761137997i</v>
      </c>
      <c r="L305" s="153"/>
      <c r="M305" s="153">
        <f t="shared" si="172"/>
        <v>-4.116590656865707E-4</v>
      </c>
      <c r="N305" s="153">
        <f t="shared" si="173"/>
        <v>6.9023761423234284E-4</v>
      </c>
      <c r="O305" s="153">
        <f t="shared" si="174"/>
        <v>2.7857854854577215E-4</v>
      </c>
      <c r="P305" s="153"/>
      <c r="Q305" s="153" t="str">
        <f t="shared" si="175"/>
        <v>0.00025+0.000278578548545772i</v>
      </c>
      <c r="R305" s="153"/>
      <c r="S305" s="153" t="str">
        <f t="shared" si="176"/>
        <v>-7.35864776445356E-07+3.67796531972456E-06i</v>
      </c>
      <c r="T305" s="153" t="str">
        <f t="shared" si="177"/>
        <v>0.00625+0.00830455466234547i</v>
      </c>
      <c r="U305" s="153" t="str">
        <f t="shared" si="178"/>
        <v>0.00024016623853266+0.00026935866620483i</v>
      </c>
      <c r="V305" s="321"/>
      <c r="W305" s="135"/>
      <c r="X305" s="135"/>
      <c r="Y305" s="135">
        <f t="shared" si="179"/>
        <v>3.6087936099279982E-4</v>
      </c>
      <c r="Z305" s="135">
        <f t="shared" si="180"/>
        <v>0.84262902380346849</v>
      </c>
      <c r="AA305" s="135">
        <f t="shared" si="181"/>
        <v>48.279086759167328</v>
      </c>
      <c r="AB305" s="135"/>
      <c r="AC305" s="135">
        <f t="shared" si="182"/>
        <v>2.4016623853265998E-4</v>
      </c>
      <c r="AD305" s="135">
        <f t="shared" si="183"/>
        <v>2.6935866620482994E-4</v>
      </c>
      <c r="AE305" s="135">
        <f t="shared" si="184"/>
        <v>-4.482178817025661E-4</v>
      </c>
      <c r="AF305" s="135">
        <f t="shared" si="185"/>
        <v>4.482178817025661E-4</v>
      </c>
    </row>
    <row r="306" spans="2:32" s="141" customFormat="1">
      <c r="B306" s="163"/>
      <c r="C306" s="319">
        <f t="shared" si="187"/>
        <v>1445439.7707459298</v>
      </c>
      <c r="D306" s="319">
        <f t="shared" si="187"/>
        <v>9081965.9299638551</v>
      </c>
      <c r="E306" s="319" t="str">
        <f t="shared" si="187"/>
        <v>9081965.92996386i</v>
      </c>
      <c r="F306" s="153"/>
      <c r="G306" s="320">
        <f t="shared" si="168"/>
        <v>-2.342730187357742E-4</v>
      </c>
      <c r="H306" s="153">
        <f t="shared" si="169"/>
        <v>9.0819659299638551E-3</v>
      </c>
      <c r="I306" s="320">
        <f t="shared" si="170"/>
        <v>8.8476929112280816E-3</v>
      </c>
      <c r="J306" s="153"/>
      <c r="K306" s="153" t="str">
        <f t="shared" si="171"/>
        <v>0.006+0.00884769291122808i</v>
      </c>
      <c r="L306" s="153"/>
      <c r="M306" s="153">
        <f t="shared" si="172"/>
        <v>-3.754375300252791E-4</v>
      </c>
      <c r="N306" s="153">
        <f t="shared" si="173"/>
        <v>7.5683049416365455E-4</v>
      </c>
      <c r="O306" s="153">
        <f t="shared" si="174"/>
        <v>3.8139296413837546E-4</v>
      </c>
      <c r="P306" s="153"/>
      <c r="Q306" s="153" t="str">
        <f t="shared" si="175"/>
        <v>0.00025+0.000381392964138375i</v>
      </c>
      <c r="R306" s="153"/>
      <c r="S306" s="153" t="str">
        <f t="shared" si="176"/>
        <v>-1.87444782519937E-06+4.50028101263727E-06i</v>
      </c>
      <c r="T306" s="153" t="str">
        <f t="shared" si="177"/>
        <v>0.00625+0.00922908587536645i</v>
      </c>
      <c r="U306" s="153" t="str">
        <f t="shared" si="178"/>
        <v>0.000240007523903177+0.000365636954208126i</v>
      </c>
      <c r="V306" s="321"/>
      <c r="W306" s="135"/>
      <c r="X306" s="135"/>
      <c r="Y306" s="135">
        <f t="shared" si="179"/>
        <v>4.3737168839869979E-4</v>
      </c>
      <c r="Z306" s="135">
        <f t="shared" si="180"/>
        <v>0.98992858336384482</v>
      </c>
      <c r="AA306" s="135">
        <f t="shared" si="181"/>
        <v>56.71872984611278</v>
      </c>
      <c r="AB306" s="135"/>
      <c r="AC306" s="135">
        <f t="shared" si="182"/>
        <v>2.4000752390317703E-4</v>
      </c>
      <c r="AD306" s="135">
        <f t="shared" si="183"/>
        <v>3.6563695420812605E-4</v>
      </c>
      <c r="AE306" s="135">
        <f t="shared" si="184"/>
        <v>-3.0114111152763451E-4</v>
      </c>
      <c r="AF306" s="135">
        <f t="shared" si="185"/>
        <v>3.0114111152763451E-4</v>
      </c>
    </row>
    <row r="307" spans="2:32" s="141" customFormat="1">
      <c r="B307" s="163"/>
      <c r="C307" s="319">
        <f t="shared" si="187"/>
        <v>1584893.1924611153</v>
      </c>
      <c r="D307" s="319">
        <f t="shared" si="187"/>
        <v>9958177.6203206275</v>
      </c>
      <c r="E307" s="319" t="str">
        <f t="shared" si="187"/>
        <v>9958177.62032063i</v>
      </c>
      <c r="F307" s="153"/>
      <c r="G307" s="320">
        <f t="shared" si="168"/>
        <v>-2.136595324556563E-4</v>
      </c>
      <c r="H307" s="153">
        <f t="shared" si="169"/>
        <v>9.9581776203206285E-3</v>
      </c>
      <c r="I307" s="320">
        <f t="shared" si="170"/>
        <v>9.7445180878649729E-3</v>
      </c>
      <c r="J307" s="153"/>
      <c r="K307" s="153" t="str">
        <f t="shared" si="171"/>
        <v>0.006+0.00974451808786497i</v>
      </c>
      <c r="L307" s="153"/>
      <c r="M307" s="153">
        <f t="shared" si="172"/>
        <v>-3.4240309688406449E-4</v>
      </c>
      <c r="N307" s="153">
        <f t="shared" si="173"/>
        <v>8.2984813502671897E-4</v>
      </c>
      <c r="O307" s="153">
        <f t="shared" si="174"/>
        <v>4.8744503814265449E-4</v>
      </c>
      <c r="P307" s="153"/>
      <c r="Q307" s="153" t="str">
        <f t="shared" si="175"/>
        <v>0.00025+0.000487445038142654i</v>
      </c>
      <c r="R307" s="153"/>
      <c r="S307" s="153" t="str">
        <f t="shared" si="176"/>
        <v>-3.24991699102112E-06+5.36079975082217E-06i</v>
      </c>
      <c r="T307" s="153" t="str">
        <f t="shared" si="177"/>
        <v>0.00625+0.0102319631260076i</v>
      </c>
      <c r="U307" s="153" t="str">
        <f t="shared" si="178"/>
        <v>0.000240265642045886+0.000464385689753939i</v>
      </c>
      <c r="V307" s="321"/>
      <c r="W307" s="135"/>
      <c r="X307" s="135"/>
      <c r="Y307" s="135">
        <f t="shared" si="179"/>
        <v>5.2285910874342006E-4</v>
      </c>
      <c r="Z307" s="135">
        <f t="shared" si="180"/>
        <v>1.0933385752599598</v>
      </c>
      <c r="AA307" s="135">
        <f t="shared" si="181"/>
        <v>62.643685941242225</v>
      </c>
      <c r="AB307" s="135"/>
      <c r="AC307" s="135">
        <f t="shared" si="182"/>
        <v>2.4026564204588597E-4</v>
      </c>
      <c r="AD307" s="135">
        <f t="shared" si="183"/>
        <v>4.6438568975393907E-4</v>
      </c>
      <c r="AE307" s="135">
        <f t="shared" si="184"/>
        <v>-2.1624262433101094E-4</v>
      </c>
      <c r="AF307" s="135">
        <f t="shared" si="185"/>
        <v>2.1624262433101094E-4</v>
      </c>
    </row>
    <row r="308" spans="2:32" s="141" customFormat="1">
      <c r="B308" s="163"/>
      <c r="C308" s="319">
        <f t="shared" si="187"/>
        <v>1737800.8287493798</v>
      </c>
      <c r="D308" s="319">
        <f t="shared" si="187"/>
        <v>10918924.634002611</v>
      </c>
      <c r="E308" s="319" t="str">
        <f t="shared" si="187"/>
        <v>10918924.6340026i</v>
      </c>
      <c r="F308" s="153"/>
      <c r="G308" s="320">
        <f t="shared" si="168"/>
        <v>-1.9485980953127405E-4</v>
      </c>
      <c r="H308" s="153">
        <f t="shared" si="169"/>
        <v>1.0918924634002613E-2</v>
      </c>
      <c r="I308" s="320">
        <f t="shared" si="170"/>
        <v>1.0724064824471339E-2</v>
      </c>
      <c r="J308" s="153"/>
      <c r="K308" s="153" t="str">
        <f t="shared" si="171"/>
        <v>0.006+0.0107240648244713i</v>
      </c>
      <c r="L308" s="153"/>
      <c r="M308" s="153">
        <f t="shared" si="172"/>
        <v>-3.1227533578729813E-4</v>
      </c>
      <c r="N308" s="153">
        <f t="shared" si="173"/>
        <v>9.0991038616688416E-4</v>
      </c>
      <c r="O308" s="153">
        <f t="shared" si="174"/>
        <v>5.9763505037958603E-4</v>
      </c>
      <c r="P308" s="153"/>
      <c r="Q308" s="153" t="str">
        <f t="shared" si="175"/>
        <v>0.00025+0.000597635050379586i</v>
      </c>
      <c r="R308" s="153"/>
      <c r="S308" s="153" t="str">
        <f t="shared" si="176"/>
        <v>-4.90907702164685E-06+6.26682650839534E-06i</v>
      </c>
      <c r="T308" s="153" t="str">
        <f t="shared" si="177"/>
        <v>0.00625+0.0113216998748509i</v>
      </c>
      <c r="U308" s="153" t="str">
        <f t="shared" si="178"/>
        <v>0.000240783196146369+0.000566520228275007i</v>
      </c>
      <c r="V308" s="321"/>
      <c r="W308" s="135"/>
      <c r="X308" s="135"/>
      <c r="Y308" s="135">
        <f t="shared" si="179"/>
        <v>6.1556617563932709E-4</v>
      </c>
      <c r="Z308" s="135">
        <f t="shared" si="180"/>
        <v>1.1689075899866381</v>
      </c>
      <c r="AA308" s="135">
        <f t="shared" si="181"/>
        <v>66.973471547042848</v>
      </c>
      <c r="AB308" s="135"/>
      <c r="AC308" s="135">
        <f t="shared" si="182"/>
        <v>2.4078319614636898E-4</v>
      </c>
      <c r="AD308" s="135">
        <f t="shared" si="183"/>
        <v>5.6652022827500701E-4</v>
      </c>
      <c r="AE308" s="135">
        <f t="shared" si="184"/>
        <v>-1.6166079498796106E-4</v>
      </c>
      <c r="AF308" s="135">
        <f t="shared" si="185"/>
        <v>1.6166079498796106E-4</v>
      </c>
    </row>
    <row r="309" spans="2:32" s="141" customFormat="1">
      <c r="B309" s="163"/>
      <c r="C309" s="319">
        <f t="shared" si="187"/>
        <v>1905460.7179632513</v>
      </c>
      <c r="D309" s="319">
        <f t="shared" si="187"/>
        <v>11972362.786514565</v>
      </c>
      <c r="E309" s="319" t="str">
        <f t="shared" si="187"/>
        <v>11972362.7865146i</v>
      </c>
      <c r="F309" s="153"/>
      <c r="G309" s="320">
        <f t="shared" si="168"/>
        <v>-1.7771425844735004E-4</v>
      </c>
      <c r="H309" s="153">
        <f t="shared" si="169"/>
        <v>1.1972362786514566E-2</v>
      </c>
      <c r="I309" s="320">
        <f t="shared" si="170"/>
        <v>1.1794648528067216E-2</v>
      </c>
      <c r="J309" s="153"/>
      <c r="K309" s="153" t="str">
        <f t="shared" si="171"/>
        <v>0.006+0.0117946485280672i</v>
      </c>
      <c r="L309" s="153"/>
      <c r="M309" s="153">
        <f t="shared" si="172"/>
        <v>-2.8479849110152246E-4</v>
      </c>
      <c r="N309" s="153">
        <f t="shared" si="173"/>
        <v>9.9769689887621365E-4</v>
      </c>
      <c r="O309" s="153">
        <f t="shared" si="174"/>
        <v>7.1289840777469119E-4</v>
      </c>
      <c r="P309" s="153"/>
      <c r="Q309" s="153" t="str">
        <f t="shared" si="175"/>
        <v>0.00025+0.000712898407774691i</v>
      </c>
      <c r="R309" s="153"/>
      <c r="S309" s="153" t="str">
        <f t="shared" si="176"/>
        <v>-6.90838615592121E-06+7.22605257866495E-06i</v>
      </c>
      <c r="T309" s="153" t="str">
        <f t="shared" si="177"/>
        <v>0.00625+0.0125075469358419i</v>
      </c>
      <c r="U309" s="153" t="str">
        <f t="shared" si="178"/>
        <v>0.00024144491688849+0.000672987031721875i</v>
      </c>
      <c r="V309" s="321"/>
      <c r="W309" s="135"/>
      <c r="X309" s="135"/>
      <c r="Y309" s="135">
        <f t="shared" si="179"/>
        <v>7.1498754727415345E-4</v>
      </c>
      <c r="Z309" s="135">
        <f t="shared" si="180"/>
        <v>1.2263335299094862</v>
      </c>
      <c r="AA309" s="135">
        <f t="shared" si="181"/>
        <v>70.263735539193874</v>
      </c>
      <c r="AB309" s="135"/>
      <c r="AC309" s="135">
        <f t="shared" si="182"/>
        <v>2.4144491688849002E-4</v>
      </c>
      <c r="AD309" s="135">
        <f t="shared" si="183"/>
        <v>6.7298703172187491E-4</v>
      </c>
      <c r="AE309" s="135">
        <f t="shared" si="184"/>
        <v>-1.2411190339960837E-4</v>
      </c>
      <c r="AF309" s="135">
        <f t="shared" si="185"/>
        <v>1.2411190339960837E-4</v>
      </c>
    </row>
    <row r="310" spans="2:32" s="141" customFormat="1">
      <c r="B310" s="163"/>
      <c r="C310" s="319">
        <f t="shared" si="187"/>
        <v>2089296.1308540432</v>
      </c>
      <c r="D310" s="319">
        <f t="shared" si="187"/>
        <v>13127434.751729282</v>
      </c>
      <c r="E310" s="319" t="str">
        <f t="shared" si="187"/>
        <v>13127434.7517293i</v>
      </c>
      <c r="F310" s="153"/>
      <c r="G310" s="320">
        <f t="shared" si="168"/>
        <v>-1.6207733001208084E-4</v>
      </c>
      <c r="H310" s="153">
        <f t="shared" si="169"/>
        <v>1.3127434751729282E-2</v>
      </c>
      <c r="I310" s="320">
        <f t="shared" si="170"/>
        <v>1.2965357421717201E-2</v>
      </c>
      <c r="J310" s="153"/>
      <c r="K310" s="153" t="str">
        <f t="shared" si="171"/>
        <v>0.006+0.0129653574217172i</v>
      </c>
      <c r="L310" s="153"/>
      <c r="M310" s="153">
        <f t="shared" si="172"/>
        <v>-2.5973931091679615E-4</v>
      </c>
      <c r="N310" s="153">
        <f t="shared" si="173"/>
        <v>1.0939528959774401E-3</v>
      </c>
      <c r="O310" s="153">
        <f t="shared" si="174"/>
        <v>8.3421358506064391E-4</v>
      </c>
      <c r="P310" s="153"/>
      <c r="Q310" s="153" t="str">
        <f t="shared" si="175"/>
        <v>0.00025+0.000834213585060644i</v>
      </c>
      <c r="R310" s="153"/>
      <c r="S310" s="153" t="str">
        <f t="shared" si="176"/>
        <v>-9.31587729636333E-06+8.24662086579316E-06i</v>
      </c>
      <c r="T310" s="153" t="str">
        <f t="shared" si="177"/>
        <v>0.00625+0.0137995710067778i</v>
      </c>
      <c r="U310" s="153" t="str">
        <f t="shared" si="178"/>
        <v>0.000242169320129261+0.000784766101921011i</v>
      </c>
      <c r="V310" s="321"/>
      <c r="W310" s="135"/>
      <c r="X310" s="135"/>
      <c r="Y310" s="135">
        <f t="shared" si="179"/>
        <v>8.212818117651013E-4</v>
      </c>
      <c r="Z310" s="135">
        <f t="shared" si="180"/>
        <v>1.271479469401843</v>
      </c>
      <c r="AA310" s="135">
        <f t="shared" si="181"/>
        <v>72.85040733425889</v>
      </c>
      <c r="AB310" s="135"/>
      <c r="AC310" s="135">
        <f t="shared" si="182"/>
        <v>2.421693201292611E-4</v>
      </c>
      <c r="AD310" s="135">
        <f t="shared" si="183"/>
        <v>7.8476610192101102E-4</v>
      </c>
      <c r="AE310" s="135">
        <f t="shared" si="184"/>
        <v>-9.7068852641835133E-5</v>
      </c>
      <c r="AF310" s="135">
        <f t="shared" si="185"/>
        <v>9.7068852641835133E-5</v>
      </c>
    </row>
    <row r="311" spans="2:32" s="141" customFormat="1">
      <c r="B311" s="163"/>
      <c r="C311" s="319">
        <f t="shared" si="187"/>
        <v>2290867.6527677765</v>
      </c>
      <c r="D311" s="319">
        <f t="shared" si="187"/>
        <v>14393945.97656348</v>
      </c>
      <c r="E311" s="319" t="str">
        <f t="shared" si="187"/>
        <v>14393945.9765635i</v>
      </c>
      <c r="F311" s="153"/>
      <c r="G311" s="320">
        <f t="shared" si="168"/>
        <v>-1.4781628178488264E-4</v>
      </c>
      <c r="H311" s="153">
        <f t="shared" si="169"/>
        <v>1.4393945976563481E-2</v>
      </c>
      <c r="I311" s="320">
        <f t="shared" si="170"/>
        <v>1.4246129694778599E-2</v>
      </c>
      <c r="J311" s="153"/>
      <c r="K311" s="153" t="str">
        <f t="shared" si="171"/>
        <v>0.006+0.0142461296947786i</v>
      </c>
      <c r="L311" s="153"/>
      <c r="M311" s="153">
        <f t="shared" si="172"/>
        <v>-2.3688506696295294E-4</v>
      </c>
      <c r="N311" s="153">
        <f t="shared" si="173"/>
        <v>1.1994954980469566E-3</v>
      </c>
      <c r="O311" s="153">
        <f t="shared" si="174"/>
        <v>9.626104310840037E-4</v>
      </c>
      <c r="P311" s="153"/>
      <c r="Q311" s="153" t="str">
        <f t="shared" si="175"/>
        <v>0.00025+0.000962610431084004i</v>
      </c>
      <c r="R311" s="153"/>
      <c r="S311" s="153" t="str">
        <f t="shared" si="176"/>
        <v>-0.0000122134730467695+9.33719501019868E-06i</v>
      </c>
      <c r="T311" s="153" t="str">
        <f t="shared" si="177"/>
        <v>0.00625+0.0152087401258626i</v>
      </c>
      <c r="U311" s="153" t="str">
        <f t="shared" si="178"/>
        <v>0.000242901152426001+0.000902875921068655i</v>
      </c>
      <c r="V311" s="321"/>
      <c r="W311" s="135"/>
      <c r="X311" s="135"/>
      <c r="Y311" s="135">
        <f t="shared" si="179"/>
        <v>9.3497908997765907E-4</v>
      </c>
      <c r="Z311" s="135">
        <f t="shared" si="180"/>
        <v>1.3079883466148121</v>
      </c>
      <c r="AA311" s="135">
        <f t="shared" si="181"/>
        <v>74.942211913323376</v>
      </c>
      <c r="AB311" s="135"/>
      <c r="AC311" s="135">
        <f t="shared" si="182"/>
        <v>2.4290115242600103E-4</v>
      </c>
      <c r="AD311" s="135">
        <f t="shared" si="183"/>
        <v>9.0287592106865497E-4</v>
      </c>
      <c r="AE311" s="135">
        <f t="shared" si="184"/>
        <v>-7.6947065280758603E-5</v>
      </c>
      <c r="AF311" s="135">
        <f t="shared" si="185"/>
        <v>7.6947065280758603E-5</v>
      </c>
    </row>
    <row r="312" spans="2:32" s="141" customFormat="1">
      <c r="B312" s="163"/>
      <c r="C312" s="319">
        <f t="shared" si="187"/>
        <v>2511886.431509587</v>
      </c>
      <c r="D312" s="319">
        <f t="shared" si="187"/>
        <v>15782647.919764798</v>
      </c>
      <c r="E312" s="319" t="str">
        <f t="shared" si="187"/>
        <v>15782647.9197648i</v>
      </c>
      <c r="F312" s="153"/>
      <c r="G312" s="320">
        <f t="shared" si="168"/>
        <v>-1.3481005122110032E-4</v>
      </c>
      <c r="H312" s="153">
        <f t="shared" si="169"/>
        <v>1.5782647919764799E-2</v>
      </c>
      <c r="I312" s="320">
        <f t="shared" si="170"/>
        <v>1.56478378685437E-2</v>
      </c>
      <c r="J312" s="153"/>
      <c r="K312" s="153" t="str">
        <f t="shared" si="171"/>
        <v>0.006+0.0156478378685437i</v>
      </c>
      <c r="L312" s="153"/>
      <c r="M312" s="153">
        <f t="shared" si="172"/>
        <v>-2.1604174875176335E-4</v>
      </c>
      <c r="N312" s="153">
        <f t="shared" si="173"/>
        <v>1.3152206599803997E-3</v>
      </c>
      <c r="O312" s="153">
        <f t="shared" si="174"/>
        <v>1.0991789112286363E-3</v>
      </c>
      <c r="P312" s="153"/>
      <c r="Q312" s="153" t="str">
        <f t="shared" si="175"/>
        <v>0.00025+0.00109917891122864i</v>
      </c>
      <c r="R312" s="153"/>
      <c r="S312" s="153" t="str">
        <f t="shared" si="176"/>
        <v>-0.0000156997733914281+0.0000105070329345078i</v>
      </c>
      <c r="T312" s="153" t="str">
        <f t="shared" si="177"/>
        <v>0.00625+0.0167470167797723i</v>
      </c>
      <c r="U312" s="153" t="str">
        <f t="shared" si="178"/>
        <v>0.000243604900593367+0.00102838041226175i</v>
      </c>
      <c r="V312" s="321"/>
      <c r="W312" s="135"/>
      <c r="X312" s="135"/>
      <c r="Y312" s="135">
        <f t="shared" si="179"/>
        <v>1.0568394485051887E-3</v>
      </c>
      <c r="Z312" s="135">
        <f t="shared" si="180"/>
        <v>1.3382015250886987</v>
      </c>
      <c r="AA312" s="135">
        <f t="shared" si="181"/>
        <v>76.673299525552579</v>
      </c>
      <c r="AB312" s="135"/>
      <c r="AC312" s="135">
        <f t="shared" si="182"/>
        <v>2.4360490059336688E-4</v>
      </c>
      <c r="AD312" s="135">
        <f t="shared" si="183"/>
        <v>1.0283804122617501E-3</v>
      </c>
      <c r="AE312" s="135">
        <f t="shared" si="184"/>
        <v>-6.1612145970931013E-5</v>
      </c>
      <c r="AF312" s="135">
        <f t="shared" si="185"/>
        <v>6.1612145970931013E-5</v>
      </c>
    </row>
    <row r="313" spans="2:32" s="141" customFormat="1">
      <c r="B313" s="163"/>
      <c r="C313" s="319">
        <f t="shared" si="187"/>
        <v>2754228.7033381732</v>
      </c>
      <c r="D313" s="319">
        <f t="shared" si="187"/>
        <v>17305329.321426693</v>
      </c>
      <c r="E313" s="319" t="str">
        <f t="shared" si="187"/>
        <v>17305329.3214267i</v>
      </c>
      <c r="F313" s="153"/>
      <c r="G313" s="320">
        <f t="shared" si="168"/>
        <v>-1.2294822796776893E-4</v>
      </c>
      <c r="H313" s="153">
        <f t="shared" si="169"/>
        <v>1.7305329321426696E-2</v>
      </c>
      <c r="I313" s="320">
        <f t="shared" si="170"/>
        <v>1.7182381093458928E-2</v>
      </c>
      <c r="J313" s="153"/>
      <c r="K313" s="153" t="str">
        <f t="shared" si="171"/>
        <v>0.006+0.0171823810934589i</v>
      </c>
      <c r="L313" s="153"/>
      <c r="M313" s="153">
        <f t="shared" si="172"/>
        <v>-1.970324166150143E-4</v>
      </c>
      <c r="N313" s="153">
        <f t="shared" si="173"/>
        <v>1.4421107767855577E-3</v>
      </c>
      <c r="O313" s="153">
        <f t="shared" si="174"/>
        <v>1.2450783601705433E-3</v>
      </c>
      <c r="P313" s="153"/>
      <c r="Q313" s="153" t="str">
        <f t="shared" si="175"/>
        <v>0.00025+0.00124507836017054i</v>
      </c>
      <c r="R313" s="153"/>
      <c r="S313" s="153" t="str">
        <f t="shared" si="176"/>
        <v>-0.0000198934108756691+0.000011766065434388i</v>
      </c>
      <c r="T313" s="153" t="str">
        <f t="shared" si="177"/>
        <v>0.00625+0.0184274594536294i</v>
      </c>
      <c r="U313" s="153" t="str">
        <f t="shared" si="178"/>
        <v>0.000244259453462915+0.00116239748152551i</v>
      </c>
      <c r="V313" s="321"/>
      <c r="W313" s="135"/>
      <c r="X313" s="135"/>
      <c r="Y313" s="135">
        <f t="shared" si="179"/>
        <v>1.1877838968696493E-3</v>
      </c>
      <c r="Z313" s="135">
        <f t="shared" si="180"/>
        <v>1.3636756136872754</v>
      </c>
      <c r="AA313" s="135">
        <f t="shared" si="181"/>
        <v>78.132857289193353</v>
      </c>
      <c r="AB313" s="135"/>
      <c r="AC313" s="135">
        <f t="shared" si="182"/>
        <v>2.4425945346291493E-4</v>
      </c>
      <c r="AD313" s="135">
        <f t="shared" si="183"/>
        <v>1.1623974815255097E-3</v>
      </c>
      <c r="AE313" s="135">
        <f t="shared" si="184"/>
        <v>-4.9712484811146118E-5</v>
      </c>
      <c r="AF313" s="135">
        <f t="shared" si="185"/>
        <v>4.9712484811146118E-5</v>
      </c>
    </row>
    <row r="314" spans="2:32" s="141" customFormat="1">
      <c r="B314" s="163"/>
      <c r="C314" s="319">
        <f t="shared" si="187"/>
        <v>3019951.7204020224</v>
      </c>
      <c r="D314" s="319">
        <f t="shared" si="187"/>
        <v>18974916.278021701</v>
      </c>
      <c r="E314" s="319" t="str">
        <f t="shared" si="187"/>
        <v>18974916.2780217i</v>
      </c>
      <c r="F314" s="153"/>
      <c r="G314" s="320">
        <f t="shared" si="168"/>
        <v>-1.1213011658620674E-4</v>
      </c>
      <c r="H314" s="153">
        <f t="shared" si="169"/>
        <v>1.8974916278021701E-2</v>
      </c>
      <c r="I314" s="320">
        <f t="shared" si="170"/>
        <v>1.8862786161435493E-2</v>
      </c>
      <c r="J314" s="153"/>
      <c r="K314" s="153" t="str">
        <f t="shared" si="171"/>
        <v>0.006+0.0188627861614355i</v>
      </c>
      <c r="L314" s="153"/>
      <c r="M314" s="153">
        <f t="shared" si="172"/>
        <v>-1.7969569965738255E-4</v>
      </c>
      <c r="N314" s="153">
        <f t="shared" si="173"/>
        <v>1.5812430231684749E-3</v>
      </c>
      <c r="O314" s="153">
        <f t="shared" si="174"/>
        <v>1.4015473235110924E-3</v>
      </c>
      <c r="P314" s="153"/>
      <c r="Q314" s="153" t="str">
        <f t="shared" si="175"/>
        <v>0.00025+0.00140154732351109i</v>
      </c>
      <c r="R314" s="153"/>
      <c r="S314" s="153" t="str">
        <f t="shared" si="176"/>
        <v>-0.000024937087458522+0.0000131249804814254i</v>
      </c>
      <c r="T314" s="153" t="str">
        <f t="shared" si="177"/>
        <v>0.00625+0.0202643334849466i</v>
      </c>
      <c r="U314" s="153" t="str">
        <f t="shared" si="178"/>
        <v>0.000244853872222687+0.0013061087935399i</v>
      </c>
      <c r="V314" s="321"/>
      <c r="W314" s="135"/>
      <c r="X314" s="135"/>
      <c r="Y314" s="135">
        <f t="shared" si="179"/>
        <v>1.3288617683208052E-3</v>
      </c>
      <c r="Z314" s="135">
        <f t="shared" si="180"/>
        <v>1.3854790912856618</v>
      </c>
      <c r="AA314" s="135">
        <f t="shared" si="181"/>
        <v>79.382104534288928</v>
      </c>
      <c r="AB314" s="135"/>
      <c r="AC314" s="135">
        <f t="shared" si="182"/>
        <v>2.4485387222268693E-4</v>
      </c>
      <c r="AD314" s="135">
        <f t="shared" si="183"/>
        <v>1.3061087935399001E-3</v>
      </c>
      <c r="AE314" s="135">
        <f t="shared" si="184"/>
        <v>-4.0349743494707738E-5</v>
      </c>
      <c r="AF314" s="135">
        <f t="shared" si="185"/>
        <v>4.0349743494707738E-5</v>
      </c>
    </row>
    <row r="315" spans="2:32" s="141" customFormat="1">
      <c r="B315" s="163"/>
      <c r="C315" s="319">
        <f t="shared" si="187"/>
        <v>3311311.2148259166</v>
      </c>
      <c r="D315" s="319">
        <f t="shared" si="187"/>
        <v>20805581.972493187</v>
      </c>
      <c r="E315" s="319" t="str">
        <f t="shared" si="187"/>
        <v>20805581.9724932i</v>
      </c>
      <c r="F315" s="153"/>
      <c r="G315" s="320">
        <f t="shared" si="168"/>
        <v>-1.0226388174486245E-4</v>
      </c>
      <c r="H315" s="153">
        <f t="shared" si="169"/>
        <v>2.0805581972493187E-2</v>
      </c>
      <c r="I315" s="320">
        <f t="shared" si="170"/>
        <v>2.0703318090748324E-2</v>
      </c>
      <c r="J315" s="153"/>
      <c r="K315" s="153" t="str">
        <f t="shared" si="171"/>
        <v>0.006+0.0207033180907483i</v>
      </c>
      <c r="L315" s="153"/>
      <c r="M315" s="153">
        <f t="shared" si="172"/>
        <v>-1.6388442587317697E-4</v>
      </c>
      <c r="N315" s="153">
        <f t="shared" si="173"/>
        <v>1.7337984977077656E-3</v>
      </c>
      <c r="O315" s="153">
        <f t="shared" si="174"/>
        <v>1.5699140718345886E-3</v>
      </c>
      <c r="P315" s="153"/>
      <c r="Q315" s="153" t="str">
        <f t="shared" si="175"/>
        <v>0.00025+0.00156991407183459i</v>
      </c>
      <c r="R315" s="153"/>
      <c r="S315" s="153" t="str">
        <f t="shared" si="176"/>
        <v>-0.0000310024304043334+0.0000145953139536946i</v>
      </c>
      <c r="T315" s="153" t="str">
        <f t="shared" si="177"/>
        <v>0.00625+0.0222732321625829i</v>
      </c>
      <c r="U315" s="153" t="str">
        <f t="shared" si="178"/>
        <v>0.000245384147738518+0.00146077053793553i</v>
      </c>
      <c r="V315" s="321"/>
      <c r="W315" s="135"/>
      <c r="X315" s="135"/>
      <c r="Y315" s="135">
        <f t="shared" si="179"/>
        <v>1.4812373018736114E-3</v>
      </c>
      <c r="Z315" s="135">
        <f t="shared" si="180"/>
        <v>1.4043674792634102</v>
      </c>
      <c r="AA315" s="135">
        <f t="shared" si="181"/>
        <v>80.464329447219569</v>
      </c>
      <c r="AB315" s="135"/>
      <c r="AC315" s="135">
        <f t="shared" si="182"/>
        <v>2.4538414773851784E-4</v>
      </c>
      <c r="AD315" s="135">
        <f t="shared" si="183"/>
        <v>1.4607705379355298E-3</v>
      </c>
      <c r="AE315" s="135">
        <f t="shared" si="184"/>
        <v>-3.2903199490874876E-5</v>
      </c>
      <c r="AF315" s="135">
        <f t="shared" si="185"/>
        <v>3.2903199490874876E-5</v>
      </c>
    </row>
    <row r="316" spans="2:32" s="141" customFormat="1">
      <c r="B316" s="163"/>
      <c r="C316" s="319">
        <f t="shared" si="187"/>
        <v>3630780.5477010245</v>
      </c>
      <c r="D316" s="319">
        <f t="shared" si="187"/>
        <v>22812866.990908526</v>
      </c>
      <c r="E316" s="319" t="str">
        <f t="shared" si="187"/>
        <v>22812866.9909085i</v>
      </c>
      <c r="F316" s="153"/>
      <c r="G316" s="320">
        <f t="shared" si="168"/>
        <v>-9.3265768625925381E-5</v>
      </c>
      <c r="H316" s="153">
        <f t="shared" si="169"/>
        <v>2.2812866990908526E-2</v>
      </c>
      <c r="I316" s="320">
        <f t="shared" si="170"/>
        <v>2.2719601222282601E-2</v>
      </c>
      <c r="J316" s="153"/>
      <c r="K316" s="153" t="str">
        <f t="shared" si="171"/>
        <v>0.006+0.0227196012222826i</v>
      </c>
      <c r="L316" s="153"/>
      <c r="M316" s="153">
        <f t="shared" si="172"/>
        <v>-1.4946437279795733E-4</v>
      </c>
      <c r="N316" s="153">
        <f t="shared" si="173"/>
        <v>1.9010722492423771E-3</v>
      </c>
      <c r="O316" s="153">
        <f t="shared" si="174"/>
        <v>1.7516078764444197E-3</v>
      </c>
      <c r="P316" s="153"/>
      <c r="Q316" s="153" t="str">
        <f t="shared" si="175"/>
        <v>0.00025+0.00175160787644442i</v>
      </c>
      <c r="R316" s="153"/>
      <c r="S316" s="153" t="str">
        <f t="shared" si="176"/>
        <v>-0.0000382958324506265+0.0000161895475642372i</v>
      </c>
      <c r="T316" s="153" t="str">
        <f t="shared" si="177"/>
        <v>0.00625+0.024471209098727i</v>
      </c>
      <c r="U316" s="153" t="str">
        <f t="shared" si="178"/>
        <v>0.000245850788268714+0.00162772504278826i</v>
      </c>
      <c r="V316" s="321"/>
      <c r="W316" s="135"/>
      <c r="X316" s="135"/>
      <c r="Y316" s="135">
        <f t="shared" si="179"/>
        <v>1.6461869350144868E-3</v>
      </c>
      <c r="Z316" s="135">
        <f t="shared" si="180"/>
        <v>1.4208899016155037</v>
      </c>
      <c r="AA316" s="135">
        <f t="shared" si="181"/>
        <v>81.410994515327133</v>
      </c>
      <c r="AB316" s="135"/>
      <c r="AC316" s="135">
        <f t="shared" si="182"/>
        <v>2.4585078826871407E-4</v>
      </c>
      <c r="AD316" s="135">
        <f t="shared" si="183"/>
        <v>1.6277250427882599E-3</v>
      </c>
      <c r="AE316" s="135">
        <f t="shared" si="184"/>
        <v>-2.6930169470819605E-5</v>
      </c>
      <c r="AF316" s="135">
        <f t="shared" si="185"/>
        <v>2.6930169470819605E-5</v>
      </c>
    </row>
    <row r="317" spans="2:32" s="141" customFormat="1">
      <c r="B317" s="163"/>
      <c r="C317" s="319">
        <f t="shared" si="187"/>
        <v>3981071.705534983</v>
      </c>
      <c r="D317" s="319">
        <f t="shared" si="187"/>
        <v>25013811.247045781</v>
      </c>
      <c r="E317" s="319" t="str">
        <f t="shared" si="187"/>
        <v>25013811.2470458i</v>
      </c>
      <c r="F317" s="153"/>
      <c r="G317" s="320">
        <f t="shared" si="168"/>
        <v>-8.5059391927704307E-5</v>
      </c>
      <c r="H317" s="153">
        <f t="shared" si="169"/>
        <v>2.5013811247045784E-2</v>
      </c>
      <c r="I317" s="320">
        <f t="shared" si="170"/>
        <v>2.492875185511808E-2</v>
      </c>
      <c r="J317" s="153"/>
      <c r="K317" s="153" t="str">
        <f t="shared" si="171"/>
        <v>0.006+0.0249287518551181i</v>
      </c>
      <c r="L317" s="153"/>
      <c r="M317" s="153">
        <f t="shared" si="172"/>
        <v>-1.3631312808926971E-4</v>
      </c>
      <c r="N317" s="153">
        <f t="shared" si="173"/>
        <v>2.0844842705871483E-3</v>
      </c>
      <c r="O317" s="153">
        <f t="shared" si="174"/>
        <v>1.9481711424978786E-3</v>
      </c>
      <c r="P317" s="153"/>
      <c r="Q317" s="153" t="str">
        <f t="shared" si="175"/>
        <v>0.00025+0.00194817114249788i</v>
      </c>
      <c r="R317" s="153"/>
      <c r="S317" s="153" t="str">
        <f t="shared" si="176"/>
        <v>-0.0000470654749826316+0.0000179212148187668i</v>
      </c>
      <c r="T317" s="153" t="str">
        <f t="shared" si="177"/>
        <v>0.00625+0.026876922997616i</v>
      </c>
      <c r="U317" s="153" t="str">
        <f t="shared" si="178"/>
        <v>0.000246257075749078+0.00180841317699852i</v>
      </c>
      <c r="V317" s="321"/>
      <c r="W317" s="135"/>
      <c r="X317" s="135"/>
      <c r="Y317" s="135">
        <f t="shared" si="179"/>
        <v>1.8251029467124223E-3</v>
      </c>
      <c r="Z317" s="135">
        <f t="shared" si="180"/>
        <v>1.4354557584617962</v>
      </c>
      <c r="AA317" s="135">
        <f t="shared" si="181"/>
        <v>82.245556637611429</v>
      </c>
      <c r="AB317" s="135"/>
      <c r="AC317" s="135">
        <f t="shared" si="182"/>
        <v>2.4625707574907785E-4</v>
      </c>
      <c r="AD317" s="135">
        <f t="shared" si="183"/>
        <v>1.8084131769985198E-3</v>
      </c>
      <c r="AE317" s="135">
        <f t="shared" si="184"/>
        <v>-2.2106626248086525E-5</v>
      </c>
      <c r="AF317" s="135">
        <f t="shared" si="185"/>
        <v>2.2106626248086525E-5</v>
      </c>
    </row>
    <row r="318" spans="2:32" s="141" customFormat="1">
      <c r="B318" s="163"/>
      <c r="C318" s="319">
        <f t="shared" si="187"/>
        <v>4365158.3224016698</v>
      </c>
      <c r="D318" s="319">
        <f t="shared" si="187"/>
        <v>27427098.634826861</v>
      </c>
      <c r="E318" s="319" t="str">
        <f t="shared" si="187"/>
        <v>27427098.6348269i</v>
      </c>
      <c r="F318" s="153"/>
      <c r="G318" s="320">
        <f t="shared" si="168"/>
        <v>-7.7575087427088926E-5</v>
      </c>
      <c r="H318" s="153">
        <f t="shared" si="169"/>
        <v>2.7427098634826862E-2</v>
      </c>
      <c r="I318" s="320">
        <f t="shared" si="170"/>
        <v>2.7349523547399772E-2</v>
      </c>
      <c r="J318" s="153"/>
      <c r="K318" s="153" t="str">
        <f t="shared" si="171"/>
        <v>0.006+0.0273495235473998i</v>
      </c>
      <c r="L318" s="153"/>
      <c r="M318" s="153">
        <f t="shared" si="172"/>
        <v>-1.2431905036392455E-4</v>
      </c>
      <c r="N318" s="153">
        <f t="shared" si="173"/>
        <v>2.2855915529022383E-3</v>
      </c>
      <c r="O318" s="153">
        <f t="shared" si="174"/>
        <v>2.1612725025383136E-3</v>
      </c>
      <c r="P318" s="153"/>
      <c r="Q318" s="153" t="str">
        <f t="shared" si="175"/>
        <v>0.00025+0.00216127250253831i</v>
      </c>
      <c r="R318" s="153"/>
      <c r="S318" s="153" t="str">
        <f t="shared" si="176"/>
        <v>-0.0000576097732005192+0.0000198050159020798i</v>
      </c>
      <c r="T318" s="153" t="str">
        <f t="shared" si="177"/>
        <v>0.00625+0.0295107960499381i</v>
      </c>
      <c r="U318" s="153" t="str">
        <f t="shared" si="178"/>
        <v>0.000246607841376693+0.00200438755054348i</v>
      </c>
      <c r="V318" s="321"/>
      <c r="W318" s="135"/>
      <c r="X318" s="135"/>
      <c r="Y318" s="135">
        <f t="shared" si="179"/>
        <v>2.0195011463730746E-3</v>
      </c>
      <c r="Z318" s="135">
        <f t="shared" si="180"/>
        <v>1.4483775406397643</v>
      </c>
      <c r="AA318" s="135">
        <f t="shared" si="181"/>
        <v>82.985920220196363</v>
      </c>
      <c r="AB318" s="135"/>
      <c r="AC318" s="135">
        <f t="shared" si="182"/>
        <v>2.4660784137669307E-4</v>
      </c>
      <c r="AD318" s="135">
        <f t="shared" si="183"/>
        <v>2.0043875505434796E-3</v>
      </c>
      <c r="AE318" s="135">
        <f t="shared" si="184"/>
        <v>-1.8190240246126941E-5</v>
      </c>
      <c r="AF318" s="135">
        <f t="shared" si="185"/>
        <v>1.8190240246126941E-5</v>
      </c>
    </row>
    <row r="319" spans="2:32" s="141" customFormat="1">
      <c r="B319" s="163"/>
      <c r="C319" s="319">
        <f t="shared" si="187"/>
        <v>4786300.9232264012</v>
      </c>
      <c r="D319" s="319">
        <f t="shared" si="187"/>
        <v>30073215.636556212</v>
      </c>
      <c r="E319" s="319" t="str">
        <f t="shared" si="187"/>
        <v>30073215.6365562i</v>
      </c>
      <c r="F319" s="153"/>
      <c r="G319" s="320">
        <f t="shared" si="168"/>
        <v>-7.0749320597487356E-5</v>
      </c>
      <c r="H319" s="153">
        <f t="shared" si="169"/>
        <v>3.0073215636556214E-2</v>
      </c>
      <c r="I319" s="320">
        <f t="shared" si="170"/>
        <v>3.0002466315958726E-2</v>
      </c>
      <c r="J319" s="153"/>
      <c r="K319" s="153" t="str">
        <f t="shared" si="171"/>
        <v>0.006+0.0300024663159587i</v>
      </c>
      <c r="L319" s="153"/>
      <c r="M319" s="153">
        <f t="shared" si="172"/>
        <v>-1.1338032147033229E-4</v>
      </c>
      <c r="N319" s="153">
        <f t="shared" si="173"/>
        <v>2.5061013030463508E-3</v>
      </c>
      <c r="O319" s="153">
        <f t="shared" si="174"/>
        <v>2.3927209815760185E-3</v>
      </c>
      <c r="P319" s="153"/>
      <c r="Q319" s="153" t="str">
        <f t="shared" si="175"/>
        <v>0.00025+0.00239272098157602i</v>
      </c>
      <c r="R319" s="153"/>
      <c r="S319" s="153" t="str">
        <f t="shared" si="176"/>
        <v>-0.0000702875306532222+0.0000218569424684458i</v>
      </c>
      <c r="T319" s="153" t="str">
        <f t="shared" si="177"/>
        <v>0.00625+0.0323951872975347i</v>
      </c>
      <c r="U319" s="153" t="str">
        <f t="shared" si="178"/>
        <v>0.000246908632409393+0.00221732657218646i</v>
      </c>
      <c r="V319" s="321"/>
      <c r="W319" s="135"/>
      <c r="X319" s="135"/>
      <c r="Y319" s="135">
        <f t="shared" si="179"/>
        <v>2.2310313759520361E-3</v>
      </c>
      <c r="Z319" s="135">
        <f t="shared" si="180"/>
        <v>1.4598989850470518</v>
      </c>
      <c r="AA319" s="135">
        <f t="shared" si="181"/>
        <v>83.646050358628543</v>
      </c>
      <c r="AB319" s="135"/>
      <c r="AC319" s="135">
        <f t="shared" si="182"/>
        <v>2.4690863240939303E-4</v>
      </c>
      <c r="AD319" s="135">
        <f t="shared" si="183"/>
        <v>2.2173265721864605E-3</v>
      </c>
      <c r="AE319" s="135">
        <f t="shared" si="184"/>
        <v>-1.4996519275926849E-5</v>
      </c>
      <c r="AF319" s="135">
        <f t="shared" si="185"/>
        <v>1.4996519275926849E-5</v>
      </c>
    </row>
    <row r="320" spans="2:32" s="141" customFormat="1">
      <c r="B320" s="163"/>
      <c r="C320" s="319">
        <f t="shared" ref="C320:E326" si="188">C170</f>
        <v>5248074.6024977434</v>
      </c>
      <c r="D320" s="319">
        <f t="shared" si="188"/>
        <v>32974625.233396169</v>
      </c>
      <c r="E320" s="319" t="str">
        <f t="shared" si="188"/>
        <v>32974625.2333962i</v>
      </c>
      <c r="F320" s="153"/>
      <c r="G320" s="320">
        <f t="shared" si="168"/>
        <v>-6.4524147261974825E-5</v>
      </c>
      <c r="H320" s="153">
        <f t="shared" si="169"/>
        <v>3.2974625233396171E-2</v>
      </c>
      <c r="I320" s="320">
        <f t="shared" si="170"/>
        <v>3.2910101086134194E-2</v>
      </c>
      <c r="J320" s="153"/>
      <c r="K320" s="153" t="str">
        <f t="shared" si="171"/>
        <v>0.006+0.0329101010861342i</v>
      </c>
      <c r="L320" s="153"/>
      <c r="M320" s="153">
        <f t="shared" si="172"/>
        <v>-1.0340408215060064E-4</v>
      </c>
      <c r="N320" s="153">
        <f t="shared" si="173"/>
        <v>2.7478854361163473E-3</v>
      </c>
      <c r="O320" s="153">
        <f t="shared" si="174"/>
        <v>2.6444813539657466E-3</v>
      </c>
      <c r="P320" s="153"/>
      <c r="Q320" s="153" t="str">
        <f t="shared" si="175"/>
        <v>0.00025+0.00264448135396575i</v>
      </c>
      <c r="R320" s="153"/>
      <c r="S320" s="153" t="str">
        <f t="shared" si="176"/>
        <v>-0.0000855301486794099+0.0000240944133953281i</v>
      </c>
      <c r="T320" s="153" t="str">
        <f t="shared" si="177"/>
        <v>0.00625+0.0355545824401i</v>
      </c>
      <c r="U320" s="153" t="str">
        <f t="shared" si="178"/>
        <v>0.000247165165786443+0.00244904946112848i</v>
      </c>
      <c r="V320" s="321"/>
      <c r="W320" s="135"/>
      <c r="X320" s="135"/>
      <c r="Y320" s="135">
        <f t="shared" si="179"/>
        <v>2.4614901751239915E-3</v>
      </c>
      <c r="Z320" s="135">
        <f t="shared" si="180"/>
        <v>1.4702139989338663</v>
      </c>
      <c r="AA320" s="135">
        <f t="shared" si="181"/>
        <v>84.237057119961847</v>
      </c>
      <c r="AB320" s="135"/>
      <c r="AC320" s="135">
        <f t="shared" si="182"/>
        <v>2.4716516578644304E-4</v>
      </c>
      <c r="AD320" s="135">
        <f t="shared" si="183"/>
        <v>2.44904946112848E-3</v>
      </c>
      <c r="AE320" s="135">
        <f t="shared" si="184"/>
        <v>-1.2382905978205233E-5</v>
      </c>
      <c r="AF320" s="135">
        <f t="shared" si="185"/>
        <v>1.2382905978205233E-5</v>
      </c>
    </row>
    <row r="321" spans="2:32" s="141" customFormat="1">
      <c r="B321" s="163"/>
      <c r="C321" s="319">
        <f t="shared" si="188"/>
        <v>5754399.3733715862</v>
      </c>
      <c r="D321" s="319">
        <f t="shared" si="188"/>
        <v>36155957.594411768</v>
      </c>
      <c r="E321" s="319" t="str">
        <f t="shared" si="188"/>
        <v>36155957.5944118i</v>
      </c>
      <c r="F321" s="153"/>
      <c r="G321" s="320">
        <f t="shared" si="168"/>
        <v>-5.8846721703118002E-5</v>
      </c>
      <c r="H321" s="153">
        <f t="shared" si="169"/>
        <v>3.6155957594411772E-2</v>
      </c>
      <c r="I321" s="320">
        <f t="shared" si="170"/>
        <v>3.6097110872708657E-2</v>
      </c>
      <c r="J321" s="153"/>
      <c r="K321" s="153" t="str">
        <f t="shared" si="171"/>
        <v>0.006+0.0360971108727087i</v>
      </c>
      <c r="L321" s="153"/>
      <c r="M321" s="153">
        <f t="shared" si="172"/>
        <v>-9.4305643754996792E-5</v>
      </c>
      <c r="N321" s="153">
        <f t="shared" si="173"/>
        <v>3.0129964662009806E-3</v>
      </c>
      <c r="O321" s="153">
        <f t="shared" si="174"/>
        <v>2.918690822445984E-3</v>
      </c>
      <c r="P321" s="153"/>
      <c r="Q321" s="153" t="str">
        <f t="shared" si="175"/>
        <v>0.00025+0.00291869082244598i</v>
      </c>
      <c r="R321" s="153"/>
      <c r="S321" s="153" t="str">
        <f t="shared" si="176"/>
        <v>-0.00010385630622099+0.0000265364226528531i</v>
      </c>
      <c r="T321" s="153" t="str">
        <f t="shared" si="177"/>
        <v>0.00625+0.0390158016951547i</v>
      </c>
      <c r="U321" s="153" t="str">
        <f t="shared" si="178"/>
        <v>0.000247382986751516+0.00270153233584014i</v>
      </c>
      <c r="V321" s="321"/>
      <c r="W321" s="135"/>
      <c r="X321" s="135"/>
      <c r="Y321" s="135">
        <f t="shared" si="179"/>
        <v>2.7128352887198998E-3</v>
      </c>
      <c r="Z321" s="135">
        <f t="shared" si="180"/>
        <v>1.4794796394729774</v>
      </c>
      <c r="AA321" s="135">
        <f t="shared" si="181"/>
        <v>84.767939217338238</v>
      </c>
      <c r="AB321" s="135"/>
      <c r="AC321" s="135">
        <f t="shared" si="182"/>
        <v>2.4738298675151582E-4</v>
      </c>
      <c r="AD321" s="135">
        <f t="shared" si="183"/>
        <v>2.7015323358401395E-3</v>
      </c>
      <c r="AE321" s="135">
        <f t="shared" si="184"/>
        <v>-1.0237878271356768E-5</v>
      </c>
      <c r="AF321" s="135">
        <f t="shared" si="185"/>
        <v>1.0237878271356768E-5</v>
      </c>
    </row>
    <row r="322" spans="2:32" s="141" customFormat="1">
      <c r="B322" s="163"/>
      <c r="C322" s="319">
        <f t="shared" si="188"/>
        <v>6309573.444801949</v>
      </c>
      <c r="D322" s="319">
        <f t="shared" si="188"/>
        <v>39644219.162950091</v>
      </c>
      <c r="E322" s="319" t="str">
        <f t="shared" si="188"/>
        <v>39644219.1629501i</v>
      </c>
      <c r="F322" s="153"/>
      <c r="G322" s="320">
        <f t="shared" si="168"/>
        <v>-5.36688480538043E-5</v>
      </c>
      <c r="H322" s="153">
        <f t="shared" si="169"/>
        <v>3.9644219162950092E-2</v>
      </c>
      <c r="I322" s="320">
        <f t="shared" si="170"/>
        <v>3.9590550314896285E-2</v>
      </c>
      <c r="J322" s="153"/>
      <c r="K322" s="153" t="str">
        <f t="shared" si="171"/>
        <v>0.006+0.0395905503148963i</v>
      </c>
      <c r="L322" s="153"/>
      <c r="M322" s="153">
        <f t="shared" si="172"/>
        <v>-8.6007769316994053E-5</v>
      </c>
      <c r="N322" s="153">
        <f t="shared" si="173"/>
        <v>3.3036849302458407E-3</v>
      </c>
      <c r="O322" s="153">
        <f t="shared" si="174"/>
        <v>3.2176771609288466E-3</v>
      </c>
      <c r="P322" s="153"/>
      <c r="Q322" s="153" t="str">
        <f t="shared" si="175"/>
        <v>0.00025+0.00321767716092885i</v>
      </c>
      <c r="R322" s="153"/>
      <c r="S322" s="153" t="str">
        <f t="shared" si="176"/>
        <v>-0.000125889609536846+0.0000292037005442972i</v>
      </c>
      <c r="T322" s="153" t="str">
        <f t="shared" si="177"/>
        <v>0.00625+0.0428082274758251i</v>
      </c>
      <c r="U322" s="153" t="str">
        <f t="shared" si="178"/>
        <v>0.000247567270337849+0.00297692552321687i</v>
      </c>
      <c r="V322" s="321"/>
      <c r="W322" s="135"/>
      <c r="X322" s="135"/>
      <c r="Y322" s="135">
        <f t="shared" si="179"/>
        <v>2.9872018887451461E-3</v>
      </c>
      <c r="Z322" s="135">
        <f t="shared" si="180"/>
        <v>1.4878251856637317</v>
      </c>
      <c r="AA322" s="135">
        <f t="shared" si="181"/>
        <v>85.246103791799939</v>
      </c>
      <c r="AB322" s="135"/>
      <c r="AC322" s="135">
        <f t="shared" si="182"/>
        <v>2.4756727033784919E-4</v>
      </c>
      <c r="AD322" s="135">
        <f t="shared" si="183"/>
        <v>2.9769255232168701E-3</v>
      </c>
      <c r="AE322" s="135">
        <f t="shared" si="184"/>
        <v>-8.4732917866317793E-6</v>
      </c>
      <c r="AF322" s="135">
        <f t="shared" si="185"/>
        <v>8.4732917866317793E-6</v>
      </c>
    </row>
    <row r="323" spans="2:32" s="141" customFormat="1">
      <c r="B323" s="163"/>
      <c r="C323" s="319">
        <f t="shared" si="188"/>
        <v>6918309.7091893917</v>
      </c>
      <c r="D323" s="319">
        <f t="shared" si="188"/>
        <v>43469021.915296659</v>
      </c>
      <c r="E323" s="319" t="str">
        <f t="shared" si="188"/>
        <v>43469021.9152967i</v>
      </c>
      <c r="F323" s="153"/>
      <c r="G323" s="320">
        <f t="shared" si="168"/>
        <v>-4.8946571160814786E-5</v>
      </c>
      <c r="H323" s="153">
        <f t="shared" si="169"/>
        <v>4.3469021915296661E-2</v>
      </c>
      <c r="I323" s="320">
        <f t="shared" si="170"/>
        <v>4.3420075344135847E-2</v>
      </c>
      <c r="J323" s="153"/>
      <c r="K323" s="153" t="str">
        <f t="shared" si="171"/>
        <v>0.006+0.0434200753441358i</v>
      </c>
      <c r="L323" s="153"/>
      <c r="M323" s="153">
        <f t="shared" si="172"/>
        <v>-7.8440017885921112E-5</v>
      </c>
      <c r="N323" s="153">
        <f t="shared" si="173"/>
        <v>3.6224184929413879E-3</v>
      </c>
      <c r="O323" s="153">
        <f t="shared" si="174"/>
        <v>3.5439784750554669E-3</v>
      </c>
      <c r="P323" s="153"/>
      <c r="Q323" s="153" t="str">
        <f t="shared" si="175"/>
        <v>0.00025+0.00354397847505547i</v>
      </c>
      <c r="R323" s="153"/>
      <c r="S323" s="153" t="str">
        <f t="shared" si="176"/>
        <v>-0.000152379812404904+0.0000321188896863668i</v>
      </c>
      <c r="T323" s="153" t="str">
        <f t="shared" si="177"/>
        <v>0.00625+0.0469640538191913i</v>
      </c>
      <c r="U323" s="153" t="str">
        <f t="shared" si="178"/>
        <v>0.000247722719753801+0.00327757224697806i</v>
      </c>
      <c r="V323" s="321"/>
      <c r="W323" s="135"/>
      <c r="X323" s="135"/>
      <c r="Y323" s="135">
        <f t="shared" si="179"/>
        <v>3.2869205010226566E-3</v>
      </c>
      <c r="Z323" s="135">
        <f t="shared" si="180"/>
        <v>1.4953585927076241</v>
      </c>
      <c r="AA323" s="135">
        <f t="shared" si="181"/>
        <v>85.677736220769091</v>
      </c>
      <c r="AB323" s="135"/>
      <c r="AC323" s="135">
        <f t="shared" si="182"/>
        <v>2.477227197538014E-4</v>
      </c>
      <c r="AD323" s="135">
        <f t="shared" si="183"/>
        <v>3.2775722469780603E-3</v>
      </c>
      <c r="AE323" s="135">
        <f t="shared" si="184"/>
        <v>-7.0188806568012593E-6</v>
      </c>
      <c r="AF323" s="135">
        <f t="shared" si="185"/>
        <v>7.0188806568012593E-6</v>
      </c>
    </row>
    <row r="324" spans="2:32" s="141" customFormat="1">
      <c r="B324" s="163"/>
      <c r="C324" s="319">
        <f t="shared" si="188"/>
        <v>7585775.7502918644</v>
      </c>
      <c r="D324" s="319">
        <f t="shared" si="188"/>
        <v>47662834.737793043</v>
      </c>
      <c r="E324" s="319" t="str">
        <f t="shared" si="188"/>
        <v>47662834.737793i</v>
      </c>
      <c r="F324" s="153"/>
      <c r="G324" s="320">
        <f t="shared" si="168"/>
        <v>-4.4639803447968472E-5</v>
      </c>
      <c r="H324" s="153">
        <f t="shared" si="169"/>
        <v>4.7662834737793043E-2</v>
      </c>
      <c r="I324" s="320">
        <f t="shared" si="170"/>
        <v>4.7618194934345076E-2</v>
      </c>
      <c r="J324" s="153"/>
      <c r="K324" s="153" t="str">
        <f t="shared" si="171"/>
        <v>0.006+0.0476181949343451i</v>
      </c>
      <c r="L324" s="153"/>
      <c r="M324" s="153">
        <f t="shared" si="172"/>
        <v>-7.153814655123151E-5</v>
      </c>
      <c r="N324" s="153">
        <f t="shared" si="173"/>
        <v>3.9719028948160869E-3</v>
      </c>
      <c r="O324" s="153">
        <f t="shared" si="174"/>
        <v>3.9003647482648554E-3</v>
      </c>
      <c r="P324" s="153"/>
      <c r="Q324" s="153" t="str">
        <f t="shared" si="175"/>
        <v>0.00025+0.00390036474826486i</v>
      </c>
      <c r="R324" s="153"/>
      <c r="S324" s="153" t="str">
        <f t="shared" si="176"/>
        <v>-0.000184228328897924+0.0000353067372231754i</v>
      </c>
      <c r="T324" s="153" t="str">
        <f t="shared" si="177"/>
        <v>0.00625+0.05151855968261i</v>
      </c>
      <c r="U324" s="153" t="str">
        <f t="shared" si="178"/>
        <v>0.000247853528459302+0.0036060288679519i</v>
      </c>
      <c r="V324" s="321"/>
      <c r="W324" s="135"/>
      <c r="X324" s="135"/>
      <c r="Y324" s="135">
        <f t="shared" si="179"/>
        <v>3.6145367017187953E-3</v>
      </c>
      <c r="Z324" s="135">
        <f t="shared" si="180"/>
        <v>1.5021711621750859</v>
      </c>
      <c r="AA324" s="135">
        <f t="shared" si="181"/>
        <v>86.068067698894353</v>
      </c>
      <c r="AB324" s="135"/>
      <c r="AC324" s="135">
        <f t="shared" si="182"/>
        <v>2.478535284593019E-4</v>
      </c>
      <c r="AD324" s="135">
        <f t="shared" si="183"/>
        <v>3.6060288679518999E-3</v>
      </c>
      <c r="AE324" s="135">
        <f t="shared" si="184"/>
        <v>-5.8182306323192304E-6</v>
      </c>
      <c r="AF324" s="135">
        <f t="shared" si="185"/>
        <v>5.8182306323192304E-6</v>
      </c>
    </row>
    <row r="325" spans="2:32" s="141" customFormat="1">
      <c r="B325" s="163"/>
      <c r="C325" s="319">
        <f t="shared" si="188"/>
        <v>8317637.7110267365</v>
      </c>
      <c r="D325" s="319">
        <f t="shared" si="188"/>
        <v>52261259.056366034</v>
      </c>
      <c r="E325" s="319" t="str">
        <f t="shared" si="188"/>
        <v>52261259.056366i</v>
      </c>
      <c r="F325" s="153"/>
      <c r="G325" s="320">
        <f t="shared" si="168"/>
        <v>-4.0711984611264568E-5</v>
      </c>
      <c r="H325" s="153">
        <f t="shared" si="169"/>
        <v>5.2261259056366034E-2</v>
      </c>
      <c r="I325" s="320">
        <f t="shared" si="170"/>
        <v>5.2220547071754768E-2</v>
      </c>
      <c r="J325" s="153"/>
      <c r="K325" s="153" t="str">
        <f t="shared" si="171"/>
        <v>0.006+0.0522205470717548i</v>
      </c>
      <c r="L325" s="153"/>
      <c r="M325" s="153">
        <f t="shared" si="172"/>
        <v>-6.5243565082154746E-5</v>
      </c>
      <c r="N325" s="153">
        <f t="shared" si="173"/>
        <v>4.3551049213638362E-3</v>
      </c>
      <c r="O325" s="153">
        <f t="shared" si="174"/>
        <v>4.2898613562816811E-3</v>
      </c>
      <c r="P325" s="153"/>
      <c r="Q325" s="153" t="str">
        <f t="shared" si="175"/>
        <v>0.00025+0.00428986135628168i</v>
      </c>
      <c r="R325" s="153"/>
      <c r="S325" s="153" t="str">
        <f t="shared" si="176"/>
        <v>-0.000222518906887009+0.0000387943049056288i</v>
      </c>
      <c r="T325" s="153" t="str">
        <f t="shared" si="177"/>
        <v>0.00625+0.0565104084280365i</v>
      </c>
      <c r="U325" s="153" t="str">
        <f t="shared" si="178"/>
        <v>0.000247963382456004+0.00396508686205481i</v>
      </c>
      <c r="V325" s="321"/>
      <c r="W325" s="135"/>
      <c r="X325" s="135"/>
      <c r="Y325" s="135">
        <f t="shared" si="179"/>
        <v>3.972832700061592E-3</v>
      </c>
      <c r="Z325" s="135">
        <f t="shared" si="180"/>
        <v>1.5083409760409603</v>
      </c>
      <c r="AA325" s="135">
        <f t="shared" si="181"/>
        <v>86.421571993790238</v>
      </c>
      <c r="AB325" s="135"/>
      <c r="AC325" s="135">
        <f t="shared" si="182"/>
        <v>2.4796338245600396E-4</v>
      </c>
      <c r="AD325" s="135">
        <f t="shared" si="183"/>
        <v>3.9650868620548091E-3</v>
      </c>
      <c r="AE325" s="135">
        <f t="shared" si="184"/>
        <v>-4.8257789634848735E-6</v>
      </c>
      <c r="AF325" s="135">
        <f t="shared" si="185"/>
        <v>4.8257789634848735E-6</v>
      </c>
    </row>
    <row r="326" spans="2:32" s="141" customFormat="1">
      <c r="B326" s="163"/>
      <c r="C326" s="319">
        <f t="shared" si="188"/>
        <v>9120108.3935591392</v>
      </c>
      <c r="D326" s="319">
        <f t="shared" si="188"/>
        <v>57303331.058296002</v>
      </c>
      <c r="E326" s="319" t="str">
        <f t="shared" si="188"/>
        <v>57303331.058296i</v>
      </c>
      <c r="F326" s="153"/>
      <c r="G326" s="320">
        <f t="shared" si="168"/>
        <v>-3.712977125716423E-5</v>
      </c>
      <c r="H326" s="153">
        <f t="shared" si="169"/>
        <v>5.7303331058296006E-2</v>
      </c>
      <c r="I326" s="320">
        <f t="shared" si="170"/>
        <v>5.726620128703884E-2</v>
      </c>
      <c r="J326" s="153"/>
      <c r="K326" s="153" t="str">
        <f t="shared" si="171"/>
        <v>0.006+0.0572662012870388i</v>
      </c>
      <c r="L326" s="153"/>
      <c r="M326" s="153">
        <f t="shared" si="172"/>
        <v>-5.9502838553147791E-5</v>
      </c>
      <c r="N326" s="153">
        <f t="shared" si="173"/>
        <v>4.775277588191333E-3</v>
      </c>
      <c r="O326" s="153">
        <f t="shared" si="174"/>
        <v>4.7157747496381856E-3</v>
      </c>
      <c r="P326" s="153"/>
      <c r="Q326" s="153" t="str">
        <f t="shared" si="175"/>
        <v>0.00025+0.00471577474963819i</v>
      </c>
      <c r="R326" s="153"/>
      <c r="S326" s="153" t="str">
        <f t="shared" si="176"/>
        <v>-0.000268554506037116+0.0000426111988195888i</v>
      </c>
      <c r="T326" s="153" t="str">
        <f t="shared" si="177"/>
        <v>0.00625+0.061981976036677i</v>
      </c>
      <c r="U326" s="153" t="str">
        <f t="shared" si="178"/>
        <v>0.000248055486550811+0.00435779673542882i</v>
      </c>
      <c r="V326" s="321"/>
      <c r="W326" s="135"/>
      <c r="X326" s="135"/>
      <c r="Y326" s="135">
        <f t="shared" si="179"/>
        <v>4.3648509609976426E-3</v>
      </c>
      <c r="Z326" s="135">
        <f t="shared" si="180"/>
        <v>1.5139354611424967</v>
      </c>
      <c r="AA326" s="135">
        <f t="shared" si="181"/>
        <v>86.742112378657112</v>
      </c>
      <c r="AB326" s="135"/>
      <c r="AC326" s="135">
        <f t="shared" si="182"/>
        <v>2.4805548655081056E-4</v>
      </c>
      <c r="AD326" s="135">
        <f t="shared" si="183"/>
        <v>4.3577967354288209E-3</v>
      </c>
      <c r="AE326" s="135">
        <f t="shared" si="184"/>
        <v>-4.0045448538227776E-6</v>
      </c>
      <c r="AF326" s="135">
        <f t="shared" si="185"/>
        <v>4.0045448538227776E-6</v>
      </c>
    </row>
    <row r="327" spans="2:32" s="141" customFormat="1">
      <c r="B327" s="163"/>
      <c r="C327" s="319">
        <f t="shared" ref="C327:E328" si="189">C177</f>
        <v>10000000.000000041</v>
      </c>
      <c r="D327" s="319">
        <f t="shared" si="189"/>
        <v>62831853.071796119</v>
      </c>
      <c r="E327" s="319" t="str">
        <f t="shared" si="189"/>
        <v>62831853.0717961i</v>
      </c>
      <c r="F327" s="153"/>
      <c r="G327" s="320">
        <f t="shared" si="168"/>
        <v>-3.3862753849339298E-5</v>
      </c>
      <c r="H327" s="153">
        <f t="shared" si="169"/>
        <v>6.2831853071796118E-2</v>
      </c>
      <c r="I327" s="320">
        <f t="shared" si="170"/>
        <v>6.2797990317946778E-2</v>
      </c>
      <c r="J327" s="153"/>
      <c r="K327" s="153" t="str">
        <f t="shared" si="171"/>
        <v>0.006+0.0627979903179468i</v>
      </c>
      <c r="L327" s="153"/>
      <c r="M327" s="153">
        <f t="shared" si="172"/>
        <v>-5.426723373291553E-5</v>
      </c>
      <c r="N327" s="153">
        <f t="shared" si="173"/>
        <v>5.2359877559830098E-3</v>
      </c>
      <c r="O327" s="153">
        <f t="shared" si="174"/>
        <v>5.1817205222500946E-3</v>
      </c>
      <c r="P327" s="153"/>
      <c r="Q327" s="153" t="str">
        <f t="shared" si="175"/>
        <v>0.00025+0.00518172052225009i</v>
      </c>
      <c r="R327" s="153"/>
      <c r="S327" s="153" t="str">
        <f t="shared" si="176"/>
        <v>-0.000323901635186567+0.0000467898207129872i</v>
      </c>
      <c r="T327" s="153" t="str">
        <f t="shared" si="177"/>
        <v>0.00625+0.0679797108401969i</v>
      </c>
      <c r="U327" s="153" t="str">
        <f t="shared" si="178"/>
        <v>0.000248132603616637+0.00478749409105648i</v>
      </c>
      <c r="V327" s="321"/>
      <c r="W327" s="135"/>
      <c r="X327" s="135"/>
      <c r="Y327" s="135">
        <f t="shared" si="179"/>
        <v>4.7939200515734809E-3</v>
      </c>
      <c r="Z327" s="135">
        <f t="shared" si="180"/>
        <v>1.5190133330544466</v>
      </c>
      <c r="AA327" s="135">
        <f t="shared" si="181"/>
        <v>87.033053008119865</v>
      </c>
      <c r="AB327" s="135"/>
      <c r="AC327" s="135">
        <f t="shared" si="182"/>
        <v>2.4813260361663685E-4</v>
      </c>
      <c r="AD327" s="135">
        <f t="shared" si="183"/>
        <v>4.7874940910564807E-3</v>
      </c>
      <c r="AE327" s="135">
        <f t="shared" si="184"/>
        <v>-3.3243893374033004E-6</v>
      </c>
      <c r="AF327" s="135">
        <f t="shared" si="185"/>
        <v>3.3243893374033004E-6</v>
      </c>
    </row>
    <row r="328" spans="2:32" s="87" customFormat="1">
      <c r="B328" s="85" t="s">
        <v>128</v>
      </c>
      <c r="C328" s="325">
        <f>Fc*1000</f>
        <v>83333.333333333328</v>
      </c>
      <c r="D328" s="325">
        <f t="shared" si="189"/>
        <v>523598.77559829882</v>
      </c>
      <c r="E328" s="325" t="str">
        <f t="shared" si="189"/>
        <v>523598.775598299i</v>
      </c>
      <c r="F328" s="166"/>
      <c r="G328" s="326">
        <f>-1/(D328*C$189)</f>
        <v>-4.0635304619207327E-3</v>
      </c>
      <c r="H328" s="166">
        <f>D328*C$191</f>
        <v>5.2359877559829881E-4</v>
      </c>
      <c r="I328" s="326">
        <f>H328+G328</f>
        <v>-3.5399316863224338E-3</v>
      </c>
      <c r="J328" s="166"/>
      <c r="K328" s="166" t="str">
        <f>COMPLEX(C$190,I328)</f>
        <v>0.006-0.00353993168632243i</v>
      </c>
      <c r="L328" s="166"/>
      <c r="M328" s="166">
        <f>-1/(D328*C$193)</f>
        <v>-6.5120680479498916E-3</v>
      </c>
      <c r="N328" s="166">
        <f>D328*C$195</f>
        <v>4.3633231299858234E-5</v>
      </c>
      <c r="O328" s="166">
        <f>N328+M328</f>
        <v>-6.4684348166500335E-3</v>
      </c>
      <c r="P328" s="166"/>
      <c r="Q328" s="166" t="str">
        <f>COMPLEX(C$194,O328)</f>
        <v>0.00025-0.00646843481665003i</v>
      </c>
      <c r="R328" s="166"/>
      <c r="S328" s="166" t="str">
        <f>IMPRODUCT(Q328,K328)</f>
        <v>-0.0000213978173683707-0.0000396955918214808i</v>
      </c>
      <c r="T328" s="166" t="str">
        <f>IMSUM(Q328,K328)</f>
        <v>0.00625-0.0100083665029725i</v>
      </c>
      <c r="U328" s="166" t="str">
        <f>IMDIV(S328,T328)</f>
        <v>0.0018929243850639-0.00332008173013559i</v>
      </c>
      <c r="V328" s="327"/>
      <c r="Y328" s="87">
        <f>IMABS(U328)</f>
        <v>3.821793482430687E-3</v>
      </c>
      <c r="Z328" s="87">
        <f>IMARGUMENT(U328)</f>
        <v>-1.052619184197946</v>
      </c>
      <c r="AA328" s="87">
        <f t="shared" si="181"/>
        <v>-60.310636689046106</v>
      </c>
      <c r="AC328" s="87">
        <f>Y328*COS(Z328)</f>
        <v>1.8929243850639003E-3</v>
      </c>
      <c r="AD328" s="87">
        <f>Y328*SIN(Z328)</f>
        <v>-3.3200817301355899E-3</v>
      </c>
      <c r="AE328" s="87">
        <f t="shared" si="184"/>
        <v>5.7524466936081931E-4</v>
      </c>
      <c r="AF328" s="87">
        <f t="shared" si="185"/>
        <v>5.7524466936081931E-4</v>
      </c>
    </row>
    <row r="329" spans="2:32">
      <c r="C329" s="189"/>
      <c r="D329" s="189"/>
      <c r="E329" s="189"/>
      <c r="G329"/>
      <c r="H329"/>
      <c r="I329"/>
      <c r="J329"/>
      <c r="K329"/>
    </row>
    <row r="330" spans="2:32">
      <c r="C330" s="189"/>
      <c r="D330" s="189"/>
      <c r="E330" s="189"/>
      <c r="G330"/>
      <c r="H330"/>
      <c r="I330"/>
      <c r="J330"/>
      <c r="K330"/>
    </row>
    <row r="331" spans="2:32">
      <c r="C331" s="189"/>
      <c r="D331" s="189"/>
      <c r="E331" s="189"/>
      <c r="G331"/>
      <c r="H331"/>
      <c r="I331"/>
      <c r="J331"/>
      <c r="K331"/>
    </row>
    <row r="332" spans="2:32">
      <c r="C332" s="189"/>
      <c r="D332" s="189"/>
      <c r="E332" s="189"/>
      <c r="G332"/>
      <c r="H332"/>
      <c r="I332"/>
      <c r="J332"/>
      <c r="K332"/>
    </row>
    <row r="333" spans="2:32">
      <c r="C333" s="189"/>
      <c r="D333" s="189"/>
      <c r="E333" s="189"/>
    </row>
    <row r="334" spans="2:32">
      <c r="C334" s="189"/>
      <c r="D334" s="189"/>
      <c r="E334" s="189"/>
    </row>
    <row r="335" spans="2:32">
      <c r="C335" s="189"/>
      <c r="D335" s="189"/>
      <c r="E335" s="189"/>
    </row>
    <row r="336" spans="2:32">
      <c r="E336"/>
    </row>
    <row r="337" spans="5:5">
      <c r="E337"/>
    </row>
    <row r="338" spans="5:5">
      <c r="E338"/>
    </row>
    <row r="339" spans="5:5">
      <c r="E339"/>
    </row>
    <row r="340" spans="5:5">
      <c r="E340"/>
    </row>
    <row r="341" spans="5:5">
      <c r="E341"/>
    </row>
    <row r="342" spans="5:5">
      <c r="E342"/>
    </row>
    <row r="343" spans="5:5">
      <c r="E343"/>
    </row>
    <row r="344" spans="5:5">
      <c r="E344"/>
    </row>
  </sheetData>
  <mergeCells count="39">
    <mergeCell ref="CU46:CZ46"/>
    <mergeCell ref="CU47:CW47"/>
    <mergeCell ref="CX47:CZ47"/>
    <mergeCell ref="CU48:CW48"/>
    <mergeCell ref="CX48:CZ48"/>
    <mergeCell ref="CN46:CS46"/>
    <mergeCell ref="CN48:CP48"/>
    <mergeCell ref="CQ48:CS48"/>
    <mergeCell ref="BS47:BU47"/>
    <mergeCell ref="BV47:BX47"/>
    <mergeCell ref="BZ47:CB47"/>
    <mergeCell ref="CC47:CE47"/>
    <mergeCell ref="CG47:CI47"/>
    <mergeCell ref="CJ47:CL47"/>
    <mergeCell ref="CN47:CP47"/>
    <mergeCell ref="CQ47:CS47"/>
    <mergeCell ref="BZ46:CE46"/>
    <mergeCell ref="BZ48:CB48"/>
    <mergeCell ref="CC48:CE48"/>
    <mergeCell ref="CG46:CL46"/>
    <mergeCell ref="CG48:CI48"/>
    <mergeCell ref="CJ48:CL48"/>
    <mergeCell ref="BS46:BX46"/>
    <mergeCell ref="BS48:BU48"/>
    <mergeCell ref="BV48:BX48"/>
    <mergeCell ref="BE48:BI48"/>
    <mergeCell ref="BO48:BR48"/>
    <mergeCell ref="B2:N2"/>
    <mergeCell ref="B11:B12"/>
    <mergeCell ref="B13:B14"/>
    <mergeCell ref="C21:D21"/>
    <mergeCell ref="K5:O5"/>
    <mergeCell ref="O2:Y2"/>
    <mergeCell ref="AC48:AL48"/>
    <mergeCell ref="AT48:BC48"/>
    <mergeCell ref="G48:AA48"/>
    <mergeCell ref="AN48:AR48"/>
    <mergeCell ref="W13:W14"/>
    <mergeCell ref="T46:T47"/>
  </mergeCells>
  <phoneticPr fontId="18" type="noConversion"/>
  <pageMargins left="0.7" right="0.7" top="0.75" bottom="0.75" header="0.3" footer="0.3"/>
  <pageSetup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ED8A7631C675441A5E1F00A60B80700" ma:contentTypeVersion="17" ma:contentTypeDescription="Create a new document." ma:contentTypeScope="" ma:versionID="2c95629d88b065db9b7d2b652efe202b">
  <xsd:schema xmlns:xsd="http://www.w3.org/2001/XMLSchema" xmlns:xs="http://www.w3.org/2001/XMLSchema" xmlns:p="http://schemas.microsoft.com/office/2006/metadata/properties" xmlns:ns2="e7cb27b2-446c-405c-968d-c69f86e29ad0" xmlns:ns3="3ff57c35-3abb-4567-a70e-8e433199770e" targetNamespace="http://schemas.microsoft.com/office/2006/metadata/properties" ma:root="true" ma:fieldsID="1e013b70747faa711620caf849cc6d08" ns2:_="" ns3:_="">
    <xsd:import namespace="e7cb27b2-446c-405c-968d-c69f86e29ad0"/>
    <xsd:import namespace="3ff57c35-3abb-4567-a70e-8e43319977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cb27b2-446c-405c-968d-c69f86e29a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f57c35-3abb-4567-a70e-8e433199770e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3A868CF-3C8C-4AB9-889F-DAC83357071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CD2781-D9D7-41C8-B8F1-5E5B5FE1AE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7cb27b2-446c-405c-968d-c69f86e29ad0"/>
    <ds:schemaRef ds:uri="3ff57c35-3abb-4567-a70e-8e43319977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842DD77-8E5F-4CE6-A05F-96CA2BBEEFB1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04e1674b-7af5-4d13-a082-64fc6e42384c}" enabled="0" method="" siteId="{04e1674b-7af5-4d13-a082-64fc6e42384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97</vt:i4>
      </vt:variant>
    </vt:vector>
  </HeadingPairs>
  <TitlesOfParts>
    <vt:vector size="102" baseType="lpstr">
      <vt:lpstr>Front</vt:lpstr>
      <vt:lpstr>OP_Mode</vt:lpstr>
      <vt:lpstr>EN_Vin_UVLO</vt:lpstr>
      <vt:lpstr>Cin_Cout</vt:lpstr>
      <vt:lpstr>Bode_Plot</vt:lpstr>
      <vt:lpstr>_1_phase</vt:lpstr>
      <vt:lpstr>_2_phase</vt:lpstr>
      <vt:lpstr>_3_phase</vt:lpstr>
      <vt:lpstr>_4_phase</vt:lpstr>
      <vt:lpstr>_C1c</vt:lpstr>
      <vt:lpstr>_C1u</vt:lpstr>
      <vt:lpstr>_C2c</vt:lpstr>
      <vt:lpstr>_C2u</vt:lpstr>
      <vt:lpstr>_C3c</vt:lpstr>
      <vt:lpstr>_C3u</vt:lpstr>
      <vt:lpstr>_R1c</vt:lpstr>
      <vt:lpstr>_R1u</vt:lpstr>
      <vt:lpstr>_R2c</vt:lpstr>
      <vt:lpstr>_R2u</vt:lpstr>
      <vt:lpstr>_R3c</vt:lpstr>
      <vt:lpstr>_R3u</vt:lpstr>
      <vt:lpstr>Av_EA</vt:lpstr>
      <vt:lpstr>Ccin</vt:lpstr>
      <vt:lpstr>Co</vt:lpstr>
      <vt:lpstr>Co_p</vt:lpstr>
      <vt:lpstr>Cramp</vt:lpstr>
      <vt:lpstr>DCR</vt:lpstr>
      <vt:lpstr>DCRp</vt:lpstr>
      <vt:lpstr>Deff</vt:lpstr>
      <vt:lpstr>Delta_IL</vt:lpstr>
      <vt:lpstr>dI_in</vt:lpstr>
      <vt:lpstr>Dp</vt:lpstr>
      <vt:lpstr>EA_BW</vt:lpstr>
      <vt:lpstr>Efficiency</vt:lpstr>
      <vt:lpstr>Effy</vt:lpstr>
      <vt:lpstr>ESL_Co</vt:lpstr>
      <vt:lpstr>ESLcin</vt:lpstr>
      <vt:lpstr>ESLp</vt:lpstr>
      <vt:lpstr>ESR_c</vt:lpstr>
      <vt:lpstr>ESR_Co</vt:lpstr>
      <vt:lpstr>ESRc</vt:lpstr>
      <vt:lpstr>ESRcin</vt:lpstr>
      <vt:lpstr>ESRf</vt:lpstr>
      <vt:lpstr>ESRp</vt:lpstr>
      <vt:lpstr>ESRz</vt:lpstr>
      <vt:lpstr>Fc</vt:lpstr>
      <vt:lpstr>Fc_t</vt:lpstr>
      <vt:lpstr>four</vt:lpstr>
      <vt:lpstr>Four_Phase</vt:lpstr>
      <vt:lpstr>Freq</vt:lpstr>
      <vt:lpstr>Fsw</vt:lpstr>
      <vt:lpstr>Fsw_s</vt:lpstr>
      <vt:lpstr>Half</vt:lpstr>
      <vt:lpstr>Hiccup</vt:lpstr>
      <vt:lpstr>I_sr</vt:lpstr>
      <vt:lpstr>I_step</vt:lpstr>
      <vt:lpstr>Iomax</vt:lpstr>
      <vt:lpstr>Iramp</vt:lpstr>
      <vt:lpstr>Km</vt:lpstr>
      <vt:lpstr>Kmp</vt:lpstr>
      <vt:lpstr>L</vt:lpstr>
      <vt:lpstr>Latch_Off</vt:lpstr>
      <vt:lpstr>Leff_s</vt:lpstr>
      <vt:lpstr>Lp</vt:lpstr>
      <vt:lpstr>mI_C</vt:lpstr>
      <vt:lpstr>mI_L</vt:lpstr>
      <vt:lpstr>N_olap</vt:lpstr>
      <vt:lpstr>Nbulk</vt:lpstr>
      <vt:lpstr>Ncc</vt:lpstr>
      <vt:lpstr>Np</vt:lpstr>
      <vt:lpstr>One</vt:lpstr>
      <vt:lpstr>One_Phase</vt:lpstr>
      <vt:lpstr>PM</vt:lpstr>
      <vt:lpstr>Quarter</vt:lpstr>
      <vt:lpstr>Qz</vt:lpstr>
      <vt:lpstr>Rfb_c</vt:lpstr>
      <vt:lpstr>Rfb_u</vt:lpstr>
      <vt:lpstr>Ri</vt:lpstr>
      <vt:lpstr>Ro_p</vt:lpstr>
      <vt:lpstr>Rs_p</vt:lpstr>
      <vt:lpstr>Se_p</vt:lpstr>
      <vt:lpstr>t_Ioslew</vt:lpstr>
      <vt:lpstr>three</vt:lpstr>
      <vt:lpstr>Three_Phase</vt:lpstr>
      <vt:lpstr>Toff_p</vt:lpstr>
      <vt:lpstr>Toffmin</vt:lpstr>
      <vt:lpstr>Ton_p</vt:lpstr>
      <vt:lpstr>Tonmax</vt:lpstr>
      <vt:lpstr>Tp</vt:lpstr>
      <vt:lpstr>two</vt:lpstr>
      <vt:lpstr>Two_Phase</vt:lpstr>
      <vt:lpstr>uvlo</vt:lpstr>
      <vt:lpstr>Vi</vt:lpstr>
      <vt:lpstr>Vinpp</vt:lpstr>
      <vt:lpstr>Vo</vt:lpstr>
      <vt:lpstr>Vo_Ripple</vt:lpstr>
      <vt:lpstr>Vo_Scale</vt:lpstr>
      <vt:lpstr>Vo_Transient</vt:lpstr>
      <vt:lpstr>Vopp</vt:lpstr>
      <vt:lpstr>Vsl_p</vt:lpstr>
      <vt:lpstr>Wc</vt:lpstr>
      <vt:lpstr>Wn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Wen Jing Zhang</dc:creator>
  <dc:description/>
  <cp:lastModifiedBy>Alan Feng</cp:lastModifiedBy>
  <cp:revision>7</cp:revision>
  <dcterms:created xsi:type="dcterms:W3CDTF">2021-12-01T02:19:35Z</dcterms:created>
  <dcterms:modified xsi:type="dcterms:W3CDTF">2025-12-12T21:19:52Z</dcterms:modified>
  <dc:language>zh-CN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0x0101000ED8A7631C675441A5E1F00A60B80700</vt:lpwstr>
  </property>
</Properties>
</file>